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0" windowWidth="10290" windowHeight="4635" activeTab="1"/>
  </bookViews>
  <sheets>
    <sheet name="Calculations" sheetId="1" r:id="rId1"/>
    <sheet name="Results" sheetId="2" r:id="rId2"/>
    <sheet name="Sheet3" sheetId="3" r:id="rId3"/>
  </sheets>
  <definedNames>
    <definedName name="_xlnm.Print_Area" localSheetId="1">'Results'!$A$1:$L$46</definedName>
  </definedNames>
  <calcPr fullCalcOnLoad="1"/>
</workbook>
</file>

<file path=xl/sharedStrings.xml><?xml version="1.0" encoding="utf-8"?>
<sst xmlns="http://schemas.openxmlformats.org/spreadsheetml/2006/main" count="246" uniqueCount="106">
  <si>
    <t>Plot Width:</t>
  </si>
  <si>
    <t>AVERAGES</t>
  </si>
  <si>
    <t>STANDARD DEVIATION</t>
  </si>
  <si>
    <t>MAXIMUM</t>
  </si>
  <si>
    <t>MINIMUM</t>
  </si>
  <si>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</si>
  <si>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</si>
  <si>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</si>
  <si>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</si>
  <si>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</si>
  <si>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</si>
  <si>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</si>
  <si>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</si>
  <si>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</si>
  <si>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</si>
  <si>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</si>
  <si>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</si>
  <si>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</si>
  <si>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</si>
  <si>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</si>
  <si>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</si>
  <si>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</si>
  <si>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</si>
  <si>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</si>
  <si>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</si>
  <si>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</si>
  <si>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</si>
  <si>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</si>
  <si>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</si>
  <si>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</si>
  <si>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</si>
  <si>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</si>
  <si>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</si>
  <si>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</si>
  <si>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</si>
  <si>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t>Corn Price:</t>
  </si>
  <si>
    <t>Corrected
Yield
( Bu. / A. )</t>
  </si>
  <si>
    <t>Corrected
Test Weight
( lb. / Bu. 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</si>
  <si>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</si>
  <si>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Strip
Number</t>
  </si>
  <si>
    <t>Strip
Length</t>
  </si>
  <si>
    <t>Strip
Width</t>
  </si>
  <si>
    <t>Strip
Weight</t>
  </si>
  <si>
    <t>Field
Moisture</t>
  </si>
  <si>
    <t>Test
Weight</t>
  </si>
  <si>
    <t>ID1</t>
  </si>
  <si>
    <t>NIR
Moisture</t>
  </si>
  <si>
    <t>Protein</t>
  </si>
  <si>
    <t>Oil</t>
  </si>
  <si>
    <t>Starch</t>
  </si>
  <si>
    <t>Density</t>
  </si>
  <si>
    <t>Row Length
( ft .)</t>
  </si>
  <si>
    <t>Plot Weight
( lb. )</t>
  </si>
  <si>
    <t>Check Yield
( Bu. / A. )</t>
  </si>
  <si>
    <t>Yield
( Bu. / A. )</t>
  </si>
  <si>
    <t>Value
( $ / A. )</t>
  </si>
  <si>
    <t>Moisture
( % )</t>
  </si>
  <si>
    <t>Test Weight
( lb. / Bu. )</t>
  </si>
  <si>
    <t>Yield</t>
  </si>
  <si>
    <t>Value</t>
  </si>
  <si>
    <t>Test Wt.</t>
  </si>
  <si>
    <t>Field Moisture</t>
  </si>
  <si>
    <t>Check Yield</t>
  </si>
  <si>
    <t>Corrected
Test Weight</t>
  </si>
  <si>
    <t>Ethanol Yld    (gal/bu)</t>
  </si>
  <si>
    <t>YIELD, PROTEIN, OIL, STARCH, TEST WEIGHT, DENSITY and ETHANOL BASIS 15% MOISTURE.</t>
  </si>
  <si>
    <t>VALUE IS GROSS REVENUE PER ACRE MINUS 5 CENTS/BU/PT. FOR DRYING.</t>
  </si>
  <si>
    <t>Ethanol=&gt;</t>
  </si>
  <si>
    <t>Ethanol</t>
  </si>
  <si>
    <t>Pioneer</t>
  </si>
  <si>
    <r>
      <t>2</t>
    </r>
    <r>
      <rPr>
        <sz val="11"/>
        <rFont val="Arial"/>
        <family val="2"/>
      </rPr>
      <t xml:space="preserve"> Value is determined by the current price for corn ($4.40) and a drying charge.</t>
    </r>
  </si>
  <si>
    <t>Copyright © 1996-2013, Iowa Grain Quality Initiative, Iowa State University, Ames, Iowa. All rights reserved.</t>
  </si>
  <si>
    <t>2013 Strip Plots</t>
  </si>
  <si>
    <t>Channel</t>
  </si>
  <si>
    <t>210-95STX</t>
  </si>
  <si>
    <t>Pfisters</t>
  </si>
  <si>
    <t>2574RA</t>
  </si>
  <si>
    <t>2672RA</t>
  </si>
  <si>
    <t>202-32STX</t>
  </si>
  <si>
    <t>205-38STX</t>
  </si>
  <si>
    <t>Stine</t>
  </si>
  <si>
    <t>R9526VT3P</t>
  </si>
  <si>
    <t>R9733VT3P</t>
  </si>
  <si>
    <t>Ag Venture</t>
  </si>
  <si>
    <t>RL7844YHB</t>
  </si>
  <si>
    <t>RL8010HB</t>
  </si>
  <si>
    <t>P0636HR</t>
  </si>
  <si>
    <t>P1221AMXT</t>
  </si>
  <si>
    <t>Latham</t>
  </si>
  <si>
    <t>LH5534</t>
  </si>
  <si>
    <t>LH5984</t>
  </si>
  <si>
    <t>Cornelius</t>
  </si>
  <si>
    <t>C344VT3P</t>
  </si>
  <si>
    <t>C533SS</t>
  </si>
  <si>
    <t>Wyffels</t>
  </si>
  <si>
    <t>W6878</t>
  </si>
  <si>
    <t>W4797</t>
  </si>
  <si>
    <t>Dekalb</t>
  </si>
  <si>
    <t>DKC61-16</t>
  </si>
  <si>
    <t>DKC62-08</t>
  </si>
  <si>
    <t>Renze</t>
  </si>
  <si>
    <t>3322RA</t>
  </si>
  <si>
    <t>Agrigold</t>
  </si>
  <si>
    <t>A6533VT3P</t>
  </si>
  <si>
    <t>A6408VT3P</t>
  </si>
  <si>
    <t>Black Hawk County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</si>
</sst>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_)"/>
    <numFmt numFmtId="172" formatCode="0.00_)"/>
    <numFmt numFmtId="173" formatCode="0_)"/>
    <numFmt numFmtId="174" formatCode="0.000_)"/>
    <numFmt numFmtId="175" formatCode="0.0"/>
    <numFmt numFmtId="176" formatCode="[$-409]dddd\,\ mmmm\ dd\,\ yyyy"/>
  </numFmts>
  <fonts count="4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1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/>
    </xf>
    <xf numFmtId="2" fontId="0" fillId="0" borderId="0" xfId="0" applyNumberFormat="1" applyAlignment="1">
      <alignment/>
    </xf>
    <xf numFmtId="171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1" fontId="0" fillId="0" borderId="0" xfId="0" applyNumberForma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71" fontId="0" fillId="33" borderId="0" xfId="0" applyNumberFormat="1" applyFill="1" applyAlignment="1" applyProtection="1">
      <alignment horizontal="center"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65" fontId="0" fillId="34" borderId="0" xfId="0" applyNumberFormat="1" applyFill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175" fontId="2" fillId="34" borderId="0" xfId="0" applyNumberFormat="1" applyFont="1" applyFill="1" applyBorder="1" applyAlignment="1">
      <alignment horizontal="center"/>
    </xf>
    <xf numFmtId="165" fontId="2" fillId="35" borderId="2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175" fontId="0" fillId="35" borderId="21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2" fillId="34" borderId="30" xfId="0" applyFont="1" applyFill="1" applyBorder="1" applyAlignment="1">
      <alignment horizontal="centerContinuous"/>
    </xf>
    <xf numFmtId="0" fontId="2" fillId="34" borderId="31" xfId="0" applyFont="1" applyFill="1" applyBorder="1" applyAlignment="1">
      <alignment horizontal="centerContinuous"/>
    </xf>
    <xf numFmtId="175" fontId="0" fillId="34" borderId="32" xfId="0" applyNumberFormat="1" applyFill="1" applyBorder="1" applyAlignment="1">
      <alignment horizontal="center"/>
    </xf>
    <xf numFmtId="2" fontId="0" fillId="34" borderId="32" xfId="0" applyNumberFormat="1" applyFill="1" applyBorder="1" applyAlignment="1">
      <alignment horizontal="center"/>
    </xf>
    <xf numFmtId="0" fontId="2" fillId="34" borderId="33" xfId="0" applyFont="1" applyFill="1" applyBorder="1" applyAlignment="1">
      <alignment horizontal="centerContinuous"/>
    </xf>
    <xf numFmtId="0" fontId="2" fillId="34" borderId="34" xfId="0" applyFont="1" applyFill="1" applyBorder="1" applyAlignment="1">
      <alignment horizontal="centerContinuous"/>
    </xf>
    <xf numFmtId="175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2" fillId="36" borderId="33" xfId="0" applyFont="1" applyFill="1" applyBorder="1" applyAlignment="1">
      <alignment horizontal="centerContinuous"/>
    </xf>
    <xf numFmtId="0" fontId="2" fillId="36" borderId="34" xfId="0" applyFont="1" applyFill="1" applyBorder="1" applyAlignment="1">
      <alignment horizontal="centerContinuous"/>
    </xf>
    <xf numFmtId="175" fontId="0" fillId="36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2" fillId="34" borderId="35" xfId="0" applyFont="1" applyFill="1" applyBorder="1" applyAlignment="1">
      <alignment horizontal="centerContinuous"/>
    </xf>
    <xf numFmtId="0" fontId="2" fillId="34" borderId="36" xfId="0" applyFont="1" applyFill="1" applyBorder="1" applyAlignment="1">
      <alignment horizontal="centerContinuous"/>
    </xf>
    <xf numFmtId="175" fontId="0" fillId="34" borderId="37" xfId="0" applyNumberFormat="1" applyFill="1" applyBorder="1" applyAlignment="1">
      <alignment horizontal="center"/>
    </xf>
    <xf numFmtId="2" fontId="0" fillId="34" borderId="37" xfId="0" applyNumberFormat="1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/>
    </xf>
    <xf numFmtId="165" fontId="0" fillId="34" borderId="38" xfId="0" applyNumberFormat="1" applyFill="1" applyBorder="1" applyAlignment="1">
      <alignment horizontal="center"/>
    </xf>
    <xf numFmtId="165" fontId="0" fillId="34" borderId="39" xfId="0" applyNumberFormat="1" applyFill="1" applyBorder="1" applyAlignment="1">
      <alignment horizontal="center"/>
    </xf>
    <xf numFmtId="165" fontId="0" fillId="36" borderId="39" xfId="0" applyNumberFormat="1" applyFill="1" applyBorder="1" applyAlignment="1">
      <alignment horizontal="center"/>
    </xf>
    <xf numFmtId="165" fontId="0" fillId="34" borderId="40" xfId="0" applyNumberFormat="1" applyFill="1" applyBorder="1" applyAlignment="1">
      <alignment horizontal="center"/>
    </xf>
    <xf numFmtId="165" fontId="1" fillId="37" borderId="40" xfId="0" applyNumberFormat="1" applyFont="1" applyFill="1" applyBorder="1" applyAlignment="1">
      <alignment horizontal="center"/>
    </xf>
    <xf numFmtId="165" fontId="1" fillId="37" borderId="38" xfId="0" applyNumberFormat="1" applyFont="1" applyFill="1" applyBorder="1" applyAlignment="1">
      <alignment horizontal="center"/>
    </xf>
    <xf numFmtId="165" fontId="1" fillId="37" borderId="3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34" borderId="32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6" borderId="10" xfId="0" applyNumberFormat="1" applyFill="1" applyBorder="1" applyAlignment="1">
      <alignment horizontal="center"/>
    </xf>
    <xf numFmtId="165" fontId="0" fillId="34" borderId="37" xfId="0" applyNumberFormat="1" applyFill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Alignment="1">
      <alignment/>
    </xf>
    <xf numFmtId="171" fontId="0" fillId="0" borderId="0" xfId="0" applyNumberFormat="1" applyAlignment="1" applyProtection="1">
      <alignment wrapText="1"/>
      <protection/>
    </xf>
    <xf numFmtId="17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170" fontId="2" fillId="34" borderId="44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170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/>
    </xf>
    <xf numFmtId="175" fontId="0" fillId="0" borderId="0" xfId="0" applyNumberFormat="1" applyAlignment="1">
      <alignment horizontal="center"/>
    </xf>
    <xf numFmtId="1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 horizontal="right"/>
    </xf>
    <xf numFmtId="175" fontId="13" fillId="0" borderId="0" xfId="0" applyNumberFormat="1" applyFont="1" applyFill="1" applyAlignment="1">
      <alignment horizontal="right"/>
    </xf>
    <xf numFmtId="170" fontId="13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left"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1" fontId="13" fillId="38" borderId="0" xfId="0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75" fontId="13" fillId="0" borderId="0" xfId="0" applyNumberFormat="1" applyFont="1" applyFill="1" applyAlignment="1">
      <alignment/>
    </xf>
    <xf numFmtId="17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0" fontId="0" fillId="34" borderId="32" xfId="0" applyNumberFormat="1" applyFill="1" applyBorder="1" applyAlignment="1">
      <alignment horizontal="center"/>
    </xf>
    <xf numFmtId="170" fontId="0" fillId="36" borderId="10" xfId="0" applyNumberFormat="1" applyFill="1" applyBorder="1" applyAlignment="1">
      <alignment horizontal="center"/>
    </xf>
    <xf numFmtId="170" fontId="0" fillId="34" borderId="37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49" xfId="0" applyFill="1" applyBorder="1" applyAlignment="1">
      <alignment horizontal="left"/>
    </xf>
    <xf numFmtId="0" fontId="0" fillId="34" borderId="50" xfId="0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2" fillId="0" borderId="19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8</xdr:col>
      <xdr:colOff>447675</xdr:colOff>
      <xdr:row>32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9525</xdr:rowOff>
    </xdr:from>
    <xdr:to>
      <xdr:col>11</xdr:col>
      <xdr:colOff>866775</xdr:colOff>
      <xdr:row>32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6772275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6"/>
  <sheetViews>
    <sheetView zoomScale="71" zoomScaleNormal="71" zoomScalePageLayoutView="0" workbookViewId="0" topLeftCell="AB1">
      <selection activeCell="AZ5" sqref="AZ5:AZ26"/>
    </sheetView>
  </sheetViews>
  <sheetFormatPr defaultColWidth="9.140625" defaultRowHeight="12.75"/>
  <cols>
    <col min="2" max="2" width="9.57421875" style="0" bestFit="1" customWidth="1"/>
    <col min="3" max="3" width="20.421875" style="0" bestFit="1" customWidth="1"/>
    <col min="4" max="4" width="16.57421875" style="0" bestFit="1" customWidth="1"/>
    <col min="5" max="5" width="8.140625" style="0" bestFit="1" customWidth="1"/>
    <col min="6" max="6" width="7.00390625" style="0" bestFit="1" customWidth="1"/>
    <col min="7" max="7" width="8.140625" style="0" bestFit="1" customWidth="1"/>
    <col min="8" max="8" width="10.421875" style="0" bestFit="1" customWidth="1"/>
    <col min="9" max="9" width="8.140625" style="0" bestFit="1" customWidth="1"/>
    <col min="10" max="10" width="16.00390625" style="0" bestFit="1" customWidth="1"/>
    <col min="11" max="11" width="10.421875" style="0" bestFit="1" customWidth="1"/>
    <col min="12" max="12" width="8.8515625" style="0" bestFit="1" customWidth="1"/>
    <col min="13" max="13" width="7.140625" style="0" bestFit="1" customWidth="1"/>
    <col min="14" max="14" width="8.00390625" style="0" bestFit="1" customWidth="1"/>
    <col min="15" max="15" width="8.8515625" style="0" bestFit="1" customWidth="1"/>
    <col min="16" max="17" width="17.57421875" style="0" customWidth="1"/>
    <col min="18" max="18" width="1.421875" style="21" customWidth="1"/>
    <col min="19" max="19" width="13.28125" style="0" bestFit="1" customWidth="1"/>
    <col min="20" max="20" width="12.57421875" style="0" bestFit="1" customWidth="1"/>
    <col min="21" max="21" width="13.28125" style="0" bestFit="1" customWidth="1"/>
    <col min="22" max="22" width="10.57421875" style="0" bestFit="1" customWidth="1"/>
    <col min="23" max="23" width="14.57421875" style="0" customWidth="1"/>
    <col min="24" max="24" width="10.140625" style="0" bestFit="1" customWidth="1"/>
    <col min="25" max="25" width="11.8515625" style="0" customWidth="1"/>
    <col min="26" max="26" width="13.28125" style="0" bestFit="1" customWidth="1"/>
    <col min="27" max="27" width="16.140625" style="0" customWidth="1"/>
    <col min="28" max="28" width="1.421875" style="21" customWidth="1"/>
    <col min="29" max="29" width="17.57421875" style="0" customWidth="1"/>
    <col min="30" max="30" width="12.28125" style="0" bestFit="1" customWidth="1"/>
    <col min="31" max="31" width="21.28125" style="0" bestFit="1" customWidth="1"/>
    <col min="32" max="32" width="6.421875" style="0" bestFit="1" customWidth="1"/>
    <col min="33" max="33" width="9.140625" style="0" bestFit="1" customWidth="1"/>
    <col min="34" max="34" width="8.140625" style="0" customWidth="1"/>
    <col min="35" max="35" width="13.57421875" style="0" bestFit="1" customWidth="1"/>
    <col min="36" max="39" width="7.57421875" style="0" bestFit="1" customWidth="1"/>
    <col min="43" max="43" width="10.57421875" style="0" bestFit="1" customWidth="1"/>
    <col min="44" max="44" width="11.8515625" style="0" bestFit="1" customWidth="1"/>
  </cols>
  <sheetData>
    <row r="1" spans="19:27" ht="15">
      <c r="S1" s="3"/>
      <c r="T1" s="4"/>
      <c r="U1" s="5"/>
      <c r="V1" s="6"/>
      <c r="W1" s="6" t="s">
        <v>35</v>
      </c>
      <c r="X1" s="74">
        <v>4.4</v>
      </c>
      <c r="Y1" s="7"/>
      <c r="Z1" s="12"/>
      <c r="AA1" s="12"/>
    </row>
    <row r="2" spans="19:40" ht="15">
      <c r="S2" s="9"/>
      <c r="T2" s="8" t="s">
        <v>0</v>
      </c>
      <c r="U2" s="104">
        <v>20</v>
      </c>
      <c r="V2" s="18"/>
      <c r="W2" s="18"/>
      <c r="X2" s="10"/>
      <c r="Y2" s="19"/>
      <c r="Z2" s="9"/>
      <c r="AA2" s="9"/>
      <c r="AI2" s="73" t="s">
        <v>67</v>
      </c>
      <c r="AJ2" s="103">
        <v>3.199667</v>
      </c>
      <c r="AK2" s="103">
        <v>-0.05602</v>
      </c>
      <c r="AL2" s="103">
        <v>-0.01671</v>
      </c>
      <c r="AM2" s="103">
        <v>0</v>
      </c>
      <c r="AN2" s="103">
        <v>0.129</v>
      </c>
    </row>
    <row r="3" spans="2:27" ht="6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S3" s="22"/>
      <c r="T3" s="22"/>
      <c r="U3" s="22"/>
      <c r="V3" s="22"/>
      <c r="W3" s="22"/>
      <c r="X3" s="22"/>
      <c r="Y3" s="23"/>
      <c r="Z3" s="22"/>
      <c r="AA3" s="22"/>
    </row>
    <row r="4" spans="2:40" ht="45" customHeight="1">
      <c r="B4" s="87" t="s">
        <v>39</v>
      </c>
      <c r="C4" s="88" t="s">
        <v>7</v>
      </c>
      <c r="D4" s="88" t="s">
        <v>8</v>
      </c>
      <c r="E4" s="87" t="s">
        <v>40</v>
      </c>
      <c r="F4" s="87" t="s">
        <v>41</v>
      </c>
      <c r="G4" s="87" t="s">
        <v>42</v>
      </c>
      <c r="H4" s="87" t="s">
        <v>43</v>
      </c>
      <c r="I4" s="89" t="s">
        <v>44</v>
      </c>
      <c r="J4" s="88" t="s">
        <v>45</v>
      </c>
      <c r="K4" s="87" t="s">
        <v>46</v>
      </c>
      <c r="L4" s="88" t="s">
        <v>47</v>
      </c>
      <c r="M4" s="88" t="s">
        <v>48</v>
      </c>
      <c r="N4" s="88" t="s">
        <v>49</v>
      </c>
      <c r="O4" s="88" t="s">
        <v>50</v>
      </c>
      <c r="P4" s="90"/>
      <c r="Q4" s="90"/>
      <c r="S4" s="2" t="s">
        <v>51</v>
      </c>
      <c r="T4" s="2" t="s">
        <v>52</v>
      </c>
      <c r="U4" s="2" t="s">
        <v>53</v>
      </c>
      <c r="V4" s="2" t="s">
        <v>54</v>
      </c>
      <c r="W4" s="11" t="s">
        <v>36</v>
      </c>
      <c r="X4" s="2" t="s">
        <v>55</v>
      </c>
      <c r="Y4" s="2" t="s">
        <v>56</v>
      </c>
      <c r="Z4" s="2" t="s">
        <v>57</v>
      </c>
      <c r="AA4" s="2" t="s">
        <v>37</v>
      </c>
      <c r="AD4" t="s">
        <v>7</v>
      </c>
      <c r="AE4" t="s">
        <v>8</v>
      </c>
      <c r="AF4" t="s">
        <v>58</v>
      </c>
      <c r="AG4" t="s">
        <v>59</v>
      </c>
      <c r="AH4" t="s">
        <v>60</v>
      </c>
      <c r="AI4" t="s">
        <v>61</v>
      </c>
      <c r="AJ4" t="s">
        <v>47</v>
      </c>
      <c r="AK4" t="s">
        <v>48</v>
      </c>
      <c r="AL4" t="s">
        <v>49</v>
      </c>
      <c r="AM4" t="s">
        <v>50</v>
      </c>
      <c r="AN4" t="s">
        <v>68</v>
      </c>
    </row>
    <row r="5" spans="1:61" ht="15.75">
      <c r="A5">
        <v>1</v>
      </c>
      <c r="B5" s="117">
        <v>1</v>
      </c>
      <c r="C5" s="118" t="s">
        <v>73</v>
      </c>
      <c r="D5" s="117" t="s">
        <v>74</v>
      </c>
      <c r="E5" s="117">
        <v>726</v>
      </c>
      <c r="F5" s="117">
        <v>20</v>
      </c>
      <c r="G5" s="117">
        <v>4526</v>
      </c>
      <c r="H5" s="119">
        <v>20.1</v>
      </c>
      <c r="I5" s="118">
        <v>56.5</v>
      </c>
      <c r="J5" s="120">
        <v>5201</v>
      </c>
      <c r="K5" s="121">
        <v>20.8</v>
      </c>
      <c r="L5" s="121">
        <v>6.6</v>
      </c>
      <c r="M5" s="121">
        <v>4</v>
      </c>
      <c r="N5" s="121">
        <v>60.7</v>
      </c>
      <c r="O5" s="122">
        <v>1.252</v>
      </c>
      <c r="P5" s="1"/>
      <c r="S5" s="105">
        <f>E5</f>
        <v>726</v>
      </c>
      <c r="T5" s="105">
        <f>G5</f>
        <v>4526</v>
      </c>
      <c r="U5" s="13">
        <f>((T5/56)*(1-0.01176*(Y5-15)))/(S5*($U$2)/43560)</f>
        <v>227.9222477142857</v>
      </c>
      <c r="V5" s="28"/>
      <c r="W5" s="29"/>
      <c r="X5" s="30">
        <f>U5*($X$1-(0.05*(Y5-15)))</f>
        <v>944.7377167757144</v>
      </c>
      <c r="Y5" s="106">
        <f aca="true" t="shared" si="0" ref="Y5:Z9">H5</f>
        <v>20.1</v>
      </c>
      <c r="Z5" s="15">
        <f t="shared" si="0"/>
        <v>56.5</v>
      </c>
      <c r="AA5" s="109">
        <f>Z5+(Y5-15)*(0.25)</f>
        <v>57.775</v>
      </c>
      <c r="AD5" t="str">
        <f>C5</f>
        <v>Channel</v>
      </c>
      <c r="AE5" t="str">
        <f>D5</f>
        <v>210-95STX</v>
      </c>
      <c r="AF5">
        <f>ROUND(W5,1)</f>
        <v>0</v>
      </c>
      <c r="AG5" s="93">
        <f>ROUND(X5,2)</f>
        <v>944.74</v>
      </c>
      <c r="AH5" s="92">
        <f>ROUND(AA5,1)</f>
        <v>57.8</v>
      </c>
      <c r="AI5" s="92">
        <f>ROUND(Y5,1)</f>
        <v>20.1</v>
      </c>
      <c r="AJ5" s="92">
        <f>ROUND(L5,1)</f>
        <v>6.6</v>
      </c>
      <c r="AK5" s="92">
        <f>ROUND(M5,1)</f>
        <v>4</v>
      </c>
      <c r="AL5" s="92">
        <f>ROUND(N5,1)</f>
        <v>60.7</v>
      </c>
      <c r="AM5" s="111">
        <v>1.252</v>
      </c>
      <c r="AN5" s="13">
        <f>$AJ$2+($AK$2*$AJ5)+($AL$2*$AK5)+($AM$2*$AL5)+($AN$2*$AM5)</f>
        <v>2.924603</v>
      </c>
      <c r="AQ5" t="s">
        <v>97</v>
      </c>
      <c r="AR5" t="s">
        <v>98</v>
      </c>
      <c r="AS5">
        <v>228.3</v>
      </c>
      <c r="AT5" s="93">
        <v>940.67</v>
      </c>
      <c r="AU5" s="92">
        <v>55.8</v>
      </c>
      <c r="AV5" s="92">
        <v>20.6</v>
      </c>
      <c r="AW5" s="92">
        <v>5.9</v>
      </c>
      <c r="AX5" s="92">
        <v>3.6</v>
      </c>
      <c r="AY5" s="92">
        <v>61.3</v>
      </c>
      <c r="AZ5" s="111">
        <v>1.23</v>
      </c>
      <c r="BA5" s="13">
        <v>2.9676629999999995</v>
      </c>
      <c r="BC5" s="93"/>
      <c r="BI5" s="13"/>
    </row>
    <row r="6" spans="1:61" ht="15.75">
      <c r="A6">
        <v>2</v>
      </c>
      <c r="B6" s="117">
        <v>2</v>
      </c>
      <c r="C6" s="118" t="s">
        <v>75</v>
      </c>
      <c r="D6" s="117" t="s">
        <v>76</v>
      </c>
      <c r="E6" s="117">
        <v>726</v>
      </c>
      <c r="F6" s="117">
        <v>20</v>
      </c>
      <c r="G6" s="117">
        <v>4165</v>
      </c>
      <c r="H6" s="119">
        <v>20.2</v>
      </c>
      <c r="I6" s="118">
        <v>55</v>
      </c>
      <c r="J6" s="123">
        <v>5202</v>
      </c>
      <c r="K6" s="121">
        <v>21</v>
      </c>
      <c r="L6" s="121">
        <v>6.4</v>
      </c>
      <c r="M6" s="121">
        <v>3.6</v>
      </c>
      <c r="N6" s="121">
        <v>61.7</v>
      </c>
      <c r="O6" s="122">
        <v>1.236</v>
      </c>
      <c r="P6" s="1"/>
      <c r="S6" s="105">
        <f aca="true" t="shared" si="1" ref="S6:S32">E6</f>
        <v>726</v>
      </c>
      <c r="T6" s="105">
        <f aca="true" t="shared" si="2" ref="T6:T32">G6</f>
        <v>4165</v>
      </c>
      <c r="U6" s="28"/>
      <c r="V6" s="15">
        <f>((T6/56)*(1-0.01176*(Y6-15)))/(S6*($U$2)/43560)</f>
        <v>209.48046</v>
      </c>
      <c r="W6" s="15">
        <f>-(0.8*$U$5)-(0.2*$U$10)+($U$36)+V6</f>
        <v>201.15556125714284</v>
      </c>
      <c r="X6" s="16">
        <f>W6*($X$1-(0.05*(Y6-15)))</f>
        <v>832.7840236045714</v>
      </c>
      <c r="Y6" s="106">
        <f t="shared" si="0"/>
        <v>20.2</v>
      </c>
      <c r="Z6" s="15">
        <f t="shared" si="0"/>
        <v>55</v>
      </c>
      <c r="AA6" s="109">
        <f>Z6+(Y6-15)*(0.25)</f>
        <v>56.3</v>
      </c>
      <c r="AD6" t="str">
        <f aca="true" t="shared" si="3" ref="AD6:AD34">C6</f>
        <v>Pfisters</v>
      </c>
      <c r="AE6" t="str">
        <f aca="true" t="shared" si="4" ref="AE6:AE34">D6</f>
        <v>2574RA</v>
      </c>
      <c r="AF6">
        <f aca="true" t="shared" si="5" ref="AF6:AF34">ROUND(W6,1)</f>
        <v>201.2</v>
      </c>
      <c r="AG6" s="93">
        <f aca="true" t="shared" si="6" ref="AG6:AG34">ROUND(X6,2)</f>
        <v>832.78</v>
      </c>
      <c r="AH6" s="92">
        <f aca="true" t="shared" si="7" ref="AH6:AH34">ROUND(AA6,1)</f>
        <v>56.3</v>
      </c>
      <c r="AI6" s="92">
        <f aca="true" t="shared" si="8" ref="AI6:AI34">ROUND(Y6,1)</f>
        <v>20.2</v>
      </c>
      <c r="AJ6" s="92">
        <f aca="true" t="shared" si="9" ref="AJ6:AJ34">ROUND(L6,1)</f>
        <v>6.4</v>
      </c>
      <c r="AK6" s="92">
        <f aca="true" t="shared" si="10" ref="AK6:AK34">ROUND(M6,1)</f>
        <v>3.6</v>
      </c>
      <c r="AL6" s="92">
        <f aca="true" t="shared" si="11" ref="AL6:AL34">ROUND(N6,1)</f>
        <v>61.7</v>
      </c>
      <c r="AM6" s="111">
        <v>1.236</v>
      </c>
      <c r="AN6" s="13">
        <f aca="true" t="shared" si="12" ref="AN6:AN34">$AJ$2+($AK$2*$AJ6)+($AL$2*$AK6)+($AM$2*$AL6)+($AN$2*$AM6)</f>
        <v>2.9404269999999997</v>
      </c>
      <c r="AQ6" t="s">
        <v>88</v>
      </c>
      <c r="AR6" t="s">
        <v>89</v>
      </c>
      <c r="AS6">
        <v>219.8</v>
      </c>
      <c r="AT6" s="93">
        <v>915.46</v>
      </c>
      <c r="AU6" s="92">
        <v>54.7</v>
      </c>
      <c r="AV6" s="92">
        <v>19.7</v>
      </c>
      <c r="AW6" s="92">
        <v>6.8</v>
      </c>
      <c r="AX6" s="92">
        <v>3.4</v>
      </c>
      <c r="AY6" s="92">
        <v>61.7</v>
      </c>
      <c r="AZ6" s="111">
        <v>1.24</v>
      </c>
      <c r="BA6" s="13">
        <v>2.9218769999999994</v>
      </c>
      <c r="BC6" s="93"/>
      <c r="BI6" s="13"/>
    </row>
    <row r="7" spans="1:53" ht="15.75">
      <c r="A7">
        <v>3</v>
      </c>
      <c r="B7" s="117">
        <v>3</v>
      </c>
      <c r="C7" s="118" t="s">
        <v>75</v>
      </c>
      <c r="D7" s="117" t="s">
        <v>77</v>
      </c>
      <c r="E7" s="117">
        <v>726</v>
      </c>
      <c r="F7" s="117">
        <v>20</v>
      </c>
      <c r="G7" s="117">
        <v>4250</v>
      </c>
      <c r="H7" s="119">
        <v>21</v>
      </c>
      <c r="I7" s="118">
        <v>52.2</v>
      </c>
      <c r="J7" s="123">
        <v>5203</v>
      </c>
      <c r="K7" s="121">
        <v>21.5</v>
      </c>
      <c r="L7" s="121">
        <v>7</v>
      </c>
      <c r="M7" s="121">
        <v>3.5</v>
      </c>
      <c r="N7" s="121">
        <v>61.5</v>
      </c>
      <c r="O7" s="122">
        <v>1.266</v>
      </c>
      <c r="P7" s="1"/>
      <c r="S7" s="105">
        <f t="shared" si="1"/>
        <v>726</v>
      </c>
      <c r="T7" s="105">
        <f t="shared" si="2"/>
        <v>4250</v>
      </c>
      <c r="U7" s="28"/>
      <c r="V7" s="15">
        <f>((T7/56)*(1-0.01176*(Y7-15)))/(S7*($U$2)/43560)</f>
        <v>211.61357142857145</v>
      </c>
      <c r="W7" s="15">
        <f>-(0.6*$U$5)-(0.4*$U$10)+($U$36)+V7</f>
        <v>203.9341233714286</v>
      </c>
      <c r="X7" s="16">
        <f>W7*($X$1-(0.05*(Y7-15)))</f>
        <v>836.1299058228574</v>
      </c>
      <c r="Y7" s="106">
        <f t="shared" si="0"/>
        <v>21</v>
      </c>
      <c r="Z7" s="15">
        <f t="shared" si="0"/>
        <v>52.2</v>
      </c>
      <c r="AA7" s="109">
        <f>Z7+(Y7-15)*(0.25)</f>
        <v>53.7</v>
      </c>
      <c r="AD7" t="str">
        <f t="shared" si="3"/>
        <v>Pfisters</v>
      </c>
      <c r="AE7" t="str">
        <f t="shared" si="4"/>
        <v>2672RA</v>
      </c>
      <c r="AF7">
        <f t="shared" si="5"/>
        <v>203.9</v>
      </c>
      <c r="AG7" s="93">
        <f t="shared" si="6"/>
        <v>836.13</v>
      </c>
      <c r="AH7" s="92">
        <f t="shared" si="7"/>
        <v>53.7</v>
      </c>
      <c r="AI7" s="92">
        <f t="shared" si="8"/>
        <v>21</v>
      </c>
      <c r="AJ7" s="92">
        <f t="shared" si="9"/>
        <v>7</v>
      </c>
      <c r="AK7" s="92">
        <f t="shared" si="10"/>
        <v>3.5</v>
      </c>
      <c r="AL7" s="92">
        <f t="shared" si="11"/>
        <v>61.5</v>
      </c>
      <c r="AM7" s="111">
        <v>1.266</v>
      </c>
      <c r="AN7" s="13">
        <f t="shared" si="12"/>
        <v>2.912356</v>
      </c>
      <c r="AQ7" t="s">
        <v>69</v>
      </c>
      <c r="AR7" t="s">
        <v>86</v>
      </c>
      <c r="AS7">
        <v>218.8</v>
      </c>
      <c r="AT7" s="93">
        <v>910.08</v>
      </c>
      <c r="AU7" s="92">
        <v>56.9</v>
      </c>
      <c r="AV7" s="92">
        <v>19.8</v>
      </c>
      <c r="AW7" s="92">
        <v>6.5</v>
      </c>
      <c r="AX7" s="92">
        <v>3.1</v>
      </c>
      <c r="AY7" s="92">
        <v>62.6</v>
      </c>
      <c r="AZ7" s="111">
        <v>1.251</v>
      </c>
      <c r="BA7" s="13">
        <v>2.945115</v>
      </c>
    </row>
    <row r="8" spans="1:53" ht="15.75">
      <c r="A8">
        <v>4</v>
      </c>
      <c r="B8" s="117">
        <v>4</v>
      </c>
      <c r="C8" s="118" t="s">
        <v>73</v>
      </c>
      <c r="D8" s="117" t="s">
        <v>78</v>
      </c>
      <c r="E8" s="117">
        <v>726</v>
      </c>
      <c r="F8" s="117">
        <v>20</v>
      </c>
      <c r="G8" s="117">
        <v>4005</v>
      </c>
      <c r="H8" s="119">
        <v>19</v>
      </c>
      <c r="I8" s="118">
        <v>53.2</v>
      </c>
      <c r="J8" s="123">
        <v>5204</v>
      </c>
      <c r="K8" s="121">
        <v>19.4</v>
      </c>
      <c r="L8" s="121">
        <v>6.3</v>
      </c>
      <c r="M8" s="121">
        <v>3.6</v>
      </c>
      <c r="N8" s="121">
        <v>61.7</v>
      </c>
      <c r="O8" s="122">
        <v>1.225</v>
      </c>
      <c r="P8" s="1"/>
      <c r="S8" s="105">
        <f t="shared" si="1"/>
        <v>726</v>
      </c>
      <c r="T8" s="105">
        <f t="shared" si="2"/>
        <v>4005</v>
      </c>
      <c r="U8" s="28"/>
      <c r="V8" s="15">
        <f>((T8/56)*(1-0.01176*(Y8-15)))/(S8*($U$2)/43560)</f>
        <v>204.46097142857144</v>
      </c>
      <c r="W8" s="15">
        <f>-(0.4*$U$5)-(0.6*$U$10)+($U$36)+V8</f>
        <v>197.42697405714287</v>
      </c>
      <c r="X8" s="16">
        <f>W8*($X$1-(0.05*(Y8-15)))</f>
        <v>829.1932910400001</v>
      </c>
      <c r="Y8" s="106">
        <f t="shared" si="0"/>
        <v>19</v>
      </c>
      <c r="Z8" s="15">
        <f t="shared" si="0"/>
        <v>53.2</v>
      </c>
      <c r="AA8" s="109">
        <f>Z8+(Y8-15)*(0.25)</f>
        <v>54.2</v>
      </c>
      <c r="AD8" t="str">
        <f t="shared" si="3"/>
        <v>Channel</v>
      </c>
      <c r="AE8" t="str">
        <f t="shared" si="4"/>
        <v>202-32STX</v>
      </c>
      <c r="AF8">
        <f t="shared" si="5"/>
        <v>197.4</v>
      </c>
      <c r="AG8" s="93">
        <f t="shared" si="6"/>
        <v>829.19</v>
      </c>
      <c r="AH8" s="92">
        <f t="shared" si="7"/>
        <v>54.2</v>
      </c>
      <c r="AI8" s="92">
        <f t="shared" si="8"/>
        <v>19</v>
      </c>
      <c r="AJ8" s="92">
        <f t="shared" si="9"/>
        <v>6.3</v>
      </c>
      <c r="AK8" s="92">
        <f t="shared" si="10"/>
        <v>3.6</v>
      </c>
      <c r="AL8" s="92">
        <f t="shared" si="11"/>
        <v>61.7</v>
      </c>
      <c r="AM8" s="111">
        <v>1.225</v>
      </c>
      <c r="AN8" s="13">
        <f t="shared" si="12"/>
        <v>2.9446099999999995</v>
      </c>
      <c r="AQ8" t="s">
        <v>91</v>
      </c>
      <c r="AR8" t="s">
        <v>93</v>
      </c>
      <c r="AS8">
        <v>217.6</v>
      </c>
      <c r="AT8" s="93">
        <v>906.15</v>
      </c>
      <c r="AU8" s="92">
        <v>57.2</v>
      </c>
      <c r="AV8" s="92">
        <v>19.7</v>
      </c>
      <c r="AW8" s="92">
        <v>7</v>
      </c>
      <c r="AX8" s="92">
        <v>3.5</v>
      </c>
      <c r="AY8" s="92">
        <v>61.7</v>
      </c>
      <c r="AZ8" s="111">
        <v>1.261</v>
      </c>
      <c r="BA8" s="13">
        <v>2.911711</v>
      </c>
    </row>
    <row r="9" spans="1:61" ht="15.75">
      <c r="A9">
        <v>5</v>
      </c>
      <c r="B9" s="124">
        <v>5</v>
      </c>
      <c r="C9" s="125" t="s">
        <v>73</v>
      </c>
      <c r="D9" s="124" t="s">
        <v>79</v>
      </c>
      <c r="E9" s="124">
        <v>726</v>
      </c>
      <c r="F9" s="124">
        <v>20</v>
      </c>
      <c r="G9" s="124">
        <v>3868</v>
      </c>
      <c r="H9" s="126">
        <v>18.5</v>
      </c>
      <c r="I9" s="125">
        <v>55.3</v>
      </c>
      <c r="J9" s="113">
        <v>5205</v>
      </c>
      <c r="K9" s="114">
        <v>19.2</v>
      </c>
      <c r="L9" s="114">
        <v>6.6</v>
      </c>
      <c r="M9" s="114">
        <v>3.6</v>
      </c>
      <c r="N9" s="114">
        <v>61.8</v>
      </c>
      <c r="O9" s="115">
        <v>1.258</v>
      </c>
      <c r="P9" s="1"/>
      <c r="S9" s="105">
        <f t="shared" si="1"/>
        <v>726</v>
      </c>
      <c r="T9" s="105">
        <f t="shared" si="2"/>
        <v>3868</v>
      </c>
      <c r="U9" s="28"/>
      <c r="V9" s="15">
        <f>((T9/56)*(1-0.01176*(Y9-15)))/(S9*($U$2)/43560)</f>
        <v>198.68534571428572</v>
      </c>
      <c r="W9" s="15">
        <f>-(0.2*$U$5)-(0.8*$U$10)+($U$36)+V9</f>
        <v>192.29679902857143</v>
      </c>
      <c r="X9" s="16">
        <f>W9*($X$1-(0.05*(Y9-15)))</f>
        <v>812.4539758957144</v>
      </c>
      <c r="Y9" s="106">
        <f t="shared" si="0"/>
        <v>18.5</v>
      </c>
      <c r="Z9" s="15">
        <f t="shared" si="0"/>
        <v>55.3</v>
      </c>
      <c r="AA9" s="109">
        <f>Z9+(Y9-15)*(0.25)</f>
        <v>56.175</v>
      </c>
      <c r="AD9" t="str">
        <f t="shared" si="3"/>
        <v>Channel</v>
      </c>
      <c r="AE9" t="str">
        <f t="shared" si="4"/>
        <v>205-38STX</v>
      </c>
      <c r="AF9">
        <f t="shared" si="5"/>
        <v>192.3</v>
      </c>
      <c r="AG9" s="93">
        <f t="shared" si="6"/>
        <v>812.45</v>
      </c>
      <c r="AH9" s="92">
        <f t="shared" si="7"/>
        <v>56.2</v>
      </c>
      <c r="AI9" s="92">
        <f t="shared" si="8"/>
        <v>18.5</v>
      </c>
      <c r="AJ9" s="92">
        <f t="shared" si="9"/>
        <v>6.6</v>
      </c>
      <c r="AK9" s="92">
        <f t="shared" si="10"/>
        <v>3.6</v>
      </c>
      <c r="AL9" s="92">
        <f t="shared" si="11"/>
        <v>61.8</v>
      </c>
      <c r="AM9" s="111">
        <v>1.258</v>
      </c>
      <c r="AN9" s="13">
        <f t="shared" si="12"/>
        <v>2.9320609999999996</v>
      </c>
      <c r="AQ9" t="s">
        <v>94</v>
      </c>
      <c r="AR9" t="s">
        <v>95</v>
      </c>
      <c r="AS9">
        <v>217.6</v>
      </c>
      <c r="AT9" s="93">
        <v>894.33</v>
      </c>
      <c r="AU9" s="92">
        <v>56.7</v>
      </c>
      <c r="AV9" s="92">
        <v>20.8</v>
      </c>
      <c r="AW9" s="92">
        <v>6.3</v>
      </c>
      <c r="AX9" s="92">
        <v>3.5</v>
      </c>
      <c r="AY9" s="92">
        <v>62.1</v>
      </c>
      <c r="AZ9" s="111">
        <v>1.259</v>
      </c>
      <c r="BA9" s="13">
        <v>2.9506669999999997</v>
      </c>
      <c r="BB9" s="13"/>
      <c r="BC9" s="93"/>
      <c r="BI9" s="13"/>
    </row>
    <row r="10" spans="1:61" ht="15.75">
      <c r="A10">
        <v>6</v>
      </c>
      <c r="B10" s="124">
        <v>6</v>
      </c>
      <c r="C10" s="125" t="s">
        <v>73</v>
      </c>
      <c r="D10" s="124" t="s">
        <v>74</v>
      </c>
      <c r="E10" s="124">
        <v>726</v>
      </c>
      <c r="F10" s="124">
        <v>20</v>
      </c>
      <c r="G10" s="124">
        <v>4490</v>
      </c>
      <c r="H10" s="126">
        <v>20.6</v>
      </c>
      <c r="I10" s="125">
        <v>54.7</v>
      </c>
      <c r="J10" s="113">
        <v>5206</v>
      </c>
      <c r="K10" s="114">
        <v>21.2</v>
      </c>
      <c r="L10" s="114">
        <v>6.6</v>
      </c>
      <c r="M10" s="114">
        <v>3.7</v>
      </c>
      <c r="N10" s="114">
        <v>61.4</v>
      </c>
      <c r="O10" s="115">
        <v>1.254</v>
      </c>
      <c r="P10" s="1"/>
      <c r="S10" s="105">
        <f t="shared" si="1"/>
        <v>726</v>
      </c>
      <c r="T10" s="105">
        <f t="shared" si="2"/>
        <v>4490</v>
      </c>
      <c r="U10" s="13">
        <f>((T10/56)*(1-0.01176*(Y10-15)))/(S10*($U$2)/43560)</f>
        <v>224.69499428571427</v>
      </c>
      <c r="V10" s="28"/>
      <c r="W10" s="29"/>
      <c r="X10" s="30">
        <f>U10*($X$1-(0.05*(Y10-15)))</f>
        <v>925.7433764571429</v>
      </c>
      <c r="Y10" s="106">
        <f aca="true" t="shared" si="13" ref="Y10:Y32">H10</f>
        <v>20.6</v>
      </c>
      <c r="Z10" s="15">
        <f aca="true" t="shared" si="14" ref="Z10:Z32">I10</f>
        <v>54.7</v>
      </c>
      <c r="AA10" s="109">
        <f aca="true" t="shared" si="15" ref="AA10:AA32">Z10+(Y10-15)*(0.25)</f>
        <v>56.1</v>
      </c>
      <c r="AD10" t="str">
        <f t="shared" si="3"/>
        <v>Channel</v>
      </c>
      <c r="AE10" t="str">
        <f t="shared" si="4"/>
        <v>210-95STX</v>
      </c>
      <c r="AF10">
        <f t="shared" si="5"/>
        <v>0</v>
      </c>
      <c r="AG10" s="93">
        <f t="shared" si="6"/>
        <v>925.74</v>
      </c>
      <c r="AH10" s="92">
        <f t="shared" si="7"/>
        <v>56.1</v>
      </c>
      <c r="AI10" s="92">
        <f t="shared" si="8"/>
        <v>20.6</v>
      </c>
      <c r="AJ10" s="92">
        <f t="shared" si="9"/>
        <v>6.6</v>
      </c>
      <c r="AK10" s="92">
        <f t="shared" si="10"/>
        <v>3.7</v>
      </c>
      <c r="AL10" s="92">
        <f t="shared" si="11"/>
        <v>61.4</v>
      </c>
      <c r="AM10" s="111">
        <v>1.254</v>
      </c>
      <c r="AN10" s="13">
        <f t="shared" si="12"/>
        <v>2.929874</v>
      </c>
      <c r="AQ10" t="s">
        <v>100</v>
      </c>
      <c r="AR10" t="s">
        <v>101</v>
      </c>
      <c r="AS10">
        <v>217.2</v>
      </c>
      <c r="AT10" s="93">
        <v>868.66</v>
      </c>
      <c r="AU10" s="92">
        <v>54.3</v>
      </c>
      <c r="AV10" s="92">
        <v>23</v>
      </c>
      <c r="AW10" s="92">
        <v>6.4</v>
      </c>
      <c r="AX10" s="92">
        <v>3.8</v>
      </c>
      <c r="AY10" s="92">
        <v>60.5</v>
      </c>
      <c r="AZ10" s="111">
        <v>1.25</v>
      </c>
      <c r="BA10" s="13">
        <v>2.9388909999999995</v>
      </c>
      <c r="BC10" s="93"/>
      <c r="BI10" s="13"/>
    </row>
    <row r="11" spans="1:61" ht="15.75">
      <c r="A11">
        <v>7</v>
      </c>
      <c r="B11" s="124">
        <v>7</v>
      </c>
      <c r="C11" s="125" t="s">
        <v>80</v>
      </c>
      <c r="D11" s="124" t="s">
        <v>81</v>
      </c>
      <c r="E11" s="124">
        <v>726</v>
      </c>
      <c r="F11" s="124">
        <v>20</v>
      </c>
      <c r="G11" s="124">
        <v>3998</v>
      </c>
      <c r="H11" s="126">
        <v>20.2</v>
      </c>
      <c r="I11" s="125">
        <v>54</v>
      </c>
      <c r="J11" s="113">
        <v>5207</v>
      </c>
      <c r="K11" s="114">
        <v>20.3</v>
      </c>
      <c r="L11" s="114">
        <v>6.3</v>
      </c>
      <c r="M11" s="114">
        <v>3.4</v>
      </c>
      <c r="N11" s="114">
        <v>62</v>
      </c>
      <c r="O11" s="115">
        <v>1.232</v>
      </c>
      <c r="P11" s="1"/>
      <c r="S11" s="105">
        <f t="shared" si="1"/>
        <v>726</v>
      </c>
      <c r="T11" s="105">
        <f t="shared" si="2"/>
        <v>3998</v>
      </c>
      <c r="U11" s="28"/>
      <c r="V11" s="15">
        <f>((T11/56)*(1-0.01176*(Y11-15)))/(S11*($U$2)/43560)</f>
        <v>201.08112342857143</v>
      </c>
      <c r="W11" s="15">
        <f>-(0.8*$U$10)-(0.2*$U$15)+($U$36)+V11</f>
        <v>197.07296754285713</v>
      </c>
      <c r="X11" s="16">
        <f>W11*($X$1-(0.05*(Y11-15)))</f>
        <v>815.8820856274286</v>
      </c>
      <c r="Y11" s="106">
        <f t="shared" si="13"/>
        <v>20.2</v>
      </c>
      <c r="Z11" s="15">
        <f t="shared" si="14"/>
        <v>54</v>
      </c>
      <c r="AA11" s="109">
        <f t="shared" si="15"/>
        <v>55.3</v>
      </c>
      <c r="AD11" t="str">
        <f t="shared" si="3"/>
        <v>Stine</v>
      </c>
      <c r="AE11" t="str">
        <f t="shared" si="4"/>
        <v>R9526VT3P</v>
      </c>
      <c r="AF11">
        <f t="shared" si="5"/>
        <v>197.1</v>
      </c>
      <c r="AG11" s="93">
        <f t="shared" si="6"/>
        <v>815.88</v>
      </c>
      <c r="AH11" s="92">
        <f t="shared" si="7"/>
        <v>55.3</v>
      </c>
      <c r="AI11" s="92">
        <f t="shared" si="8"/>
        <v>20.2</v>
      </c>
      <c r="AJ11" s="92">
        <f t="shared" si="9"/>
        <v>6.3</v>
      </c>
      <c r="AK11" s="92">
        <f t="shared" si="10"/>
        <v>3.4</v>
      </c>
      <c r="AL11" s="92">
        <f t="shared" si="11"/>
        <v>62</v>
      </c>
      <c r="AM11" s="111">
        <v>1.232</v>
      </c>
      <c r="AN11" s="13">
        <f t="shared" si="12"/>
        <v>2.9488549999999996</v>
      </c>
      <c r="AQ11" t="s">
        <v>100</v>
      </c>
      <c r="AR11">
        <v>2293</v>
      </c>
      <c r="AS11">
        <v>208.8</v>
      </c>
      <c r="AT11" s="93">
        <v>837.44</v>
      </c>
      <c r="AU11" s="92">
        <v>54</v>
      </c>
      <c r="AV11" s="92">
        <v>22.8</v>
      </c>
      <c r="AW11" s="92">
        <v>6.4</v>
      </c>
      <c r="AX11" s="92">
        <v>3.6</v>
      </c>
      <c r="AY11" s="92">
        <v>61.3</v>
      </c>
      <c r="AZ11" s="111">
        <v>1.223</v>
      </c>
      <c r="BA11" s="13">
        <v>2.9387499999999998</v>
      </c>
      <c r="BC11" s="93"/>
      <c r="BI11" s="13"/>
    </row>
    <row r="12" spans="1:61" ht="15.75">
      <c r="A12">
        <v>8</v>
      </c>
      <c r="B12" s="124">
        <v>8</v>
      </c>
      <c r="C12" s="125" t="s">
        <v>80</v>
      </c>
      <c r="D12" s="124" t="s">
        <v>82</v>
      </c>
      <c r="E12" s="124">
        <v>726</v>
      </c>
      <c r="F12" s="124">
        <v>20</v>
      </c>
      <c r="G12" s="124">
        <v>4020</v>
      </c>
      <c r="H12" s="126">
        <v>20.6</v>
      </c>
      <c r="I12" s="125">
        <v>52.9</v>
      </c>
      <c r="J12" s="113">
        <v>5208</v>
      </c>
      <c r="K12" s="114">
        <v>20.9</v>
      </c>
      <c r="L12" s="114">
        <v>6.3</v>
      </c>
      <c r="M12" s="114">
        <v>3.2</v>
      </c>
      <c r="N12" s="114">
        <v>62.4</v>
      </c>
      <c r="O12" s="115">
        <v>1.238</v>
      </c>
      <c r="P12" s="1"/>
      <c r="S12" s="105">
        <f t="shared" si="1"/>
        <v>726</v>
      </c>
      <c r="T12" s="105">
        <f t="shared" si="2"/>
        <v>4020</v>
      </c>
      <c r="U12" s="28"/>
      <c r="V12" s="15">
        <f>((T12/56)*(1-0.01176*(Y12-15)))/(S12*($U$2)/43560)</f>
        <v>201.1745828571429</v>
      </c>
      <c r="W12" s="15">
        <f>-(0.6*$U$10)-(0.4*$U$15)+($U$36)+V12</f>
        <v>198.90136708571433</v>
      </c>
      <c r="X12" s="16">
        <f>W12*($X$1-(0.05*(Y12-15)))</f>
        <v>819.473632393143</v>
      </c>
      <c r="Y12" s="106">
        <f t="shared" si="13"/>
        <v>20.6</v>
      </c>
      <c r="Z12" s="15">
        <f t="shared" si="14"/>
        <v>52.9</v>
      </c>
      <c r="AA12" s="109">
        <f t="shared" si="15"/>
        <v>54.3</v>
      </c>
      <c r="AD12" t="str">
        <f t="shared" si="3"/>
        <v>Stine</v>
      </c>
      <c r="AE12" t="str">
        <f t="shared" si="4"/>
        <v>R9733VT3P</v>
      </c>
      <c r="AF12">
        <f t="shared" si="5"/>
        <v>198.9</v>
      </c>
      <c r="AG12" s="93">
        <f t="shared" si="6"/>
        <v>819.47</v>
      </c>
      <c r="AH12" s="92">
        <f t="shared" si="7"/>
        <v>54.3</v>
      </c>
      <c r="AI12" s="92">
        <f t="shared" si="8"/>
        <v>20.6</v>
      </c>
      <c r="AJ12" s="92">
        <f t="shared" si="9"/>
        <v>6.3</v>
      </c>
      <c r="AK12" s="92">
        <f t="shared" si="10"/>
        <v>3.2</v>
      </c>
      <c r="AL12" s="92">
        <f t="shared" si="11"/>
        <v>62.4</v>
      </c>
      <c r="AM12" s="111">
        <v>1.238</v>
      </c>
      <c r="AN12" s="13">
        <f t="shared" si="12"/>
        <v>2.952971</v>
      </c>
      <c r="AQ12" t="s">
        <v>94</v>
      </c>
      <c r="AR12" t="s">
        <v>96</v>
      </c>
      <c r="AS12">
        <v>206.2</v>
      </c>
      <c r="AT12" s="93">
        <v>857.89</v>
      </c>
      <c r="AU12" s="92">
        <v>56.5</v>
      </c>
      <c r="AV12" s="92">
        <v>19.8</v>
      </c>
      <c r="AW12" s="92">
        <v>6.7</v>
      </c>
      <c r="AX12" s="92">
        <v>3.3</v>
      </c>
      <c r="AY12" s="92">
        <v>62</v>
      </c>
      <c r="AZ12" s="111">
        <v>1.25</v>
      </c>
      <c r="BA12" s="13">
        <v>2.9304399999999995</v>
      </c>
      <c r="BC12" s="93"/>
      <c r="BI12" s="13"/>
    </row>
    <row r="13" spans="1:61" ht="15.75">
      <c r="A13">
        <v>9</v>
      </c>
      <c r="B13" s="124">
        <v>9</v>
      </c>
      <c r="C13" s="125" t="s">
        <v>83</v>
      </c>
      <c r="D13" s="124" t="s">
        <v>84</v>
      </c>
      <c r="E13" s="124">
        <v>726</v>
      </c>
      <c r="F13" s="124">
        <v>20</v>
      </c>
      <c r="G13" s="124">
        <v>4086</v>
      </c>
      <c r="H13" s="126">
        <v>21.1</v>
      </c>
      <c r="I13" s="125">
        <v>54</v>
      </c>
      <c r="J13" s="113">
        <v>5209</v>
      </c>
      <c r="K13" s="114">
        <v>21.6</v>
      </c>
      <c r="L13" s="114">
        <v>6.5</v>
      </c>
      <c r="M13" s="114">
        <v>3.5</v>
      </c>
      <c r="N13" s="114">
        <v>61.7</v>
      </c>
      <c r="O13" s="115">
        <v>1.236</v>
      </c>
      <c r="P13" s="1"/>
      <c r="S13" s="105">
        <f t="shared" si="1"/>
        <v>726</v>
      </c>
      <c r="T13" s="105">
        <f t="shared" si="2"/>
        <v>4086</v>
      </c>
      <c r="U13" s="29"/>
      <c r="V13" s="15">
        <f>((T13/56)*(1-0.01176*(Y13-15)))/(S13*($U$2)/43560)</f>
        <v>203.19035914285712</v>
      </c>
      <c r="W13" s="15">
        <f>-(0.4*$U$10)-(0.6*$U$15)+($U$36)+V13</f>
        <v>202.6520834857143</v>
      </c>
      <c r="X13" s="16">
        <f>W13*($X$1-(0.05*(Y13-15)))</f>
        <v>829.8602818740002</v>
      </c>
      <c r="Y13" s="106">
        <f t="shared" si="13"/>
        <v>21.1</v>
      </c>
      <c r="Z13" s="15">
        <f t="shared" si="14"/>
        <v>54</v>
      </c>
      <c r="AA13" s="109">
        <f t="shared" si="15"/>
        <v>55.525</v>
      </c>
      <c r="AD13" t="str">
        <f t="shared" si="3"/>
        <v>Ag Venture</v>
      </c>
      <c r="AE13" t="str">
        <f t="shared" si="4"/>
        <v>RL7844YHB</v>
      </c>
      <c r="AF13">
        <f t="shared" si="5"/>
        <v>202.7</v>
      </c>
      <c r="AG13" s="93">
        <f t="shared" si="6"/>
        <v>829.86</v>
      </c>
      <c r="AH13" s="92">
        <f t="shared" si="7"/>
        <v>55.5</v>
      </c>
      <c r="AI13" s="92">
        <f t="shared" si="8"/>
        <v>21.1</v>
      </c>
      <c r="AJ13" s="92">
        <f t="shared" si="9"/>
        <v>6.5</v>
      </c>
      <c r="AK13" s="92">
        <f t="shared" si="10"/>
        <v>3.5</v>
      </c>
      <c r="AL13" s="92">
        <f t="shared" si="11"/>
        <v>61.7</v>
      </c>
      <c r="AM13" s="111">
        <v>1.236</v>
      </c>
      <c r="AN13" s="13">
        <f t="shared" si="12"/>
        <v>2.936496</v>
      </c>
      <c r="AQ13" t="s">
        <v>83</v>
      </c>
      <c r="AR13" t="s">
        <v>85</v>
      </c>
      <c r="AS13">
        <v>205.6</v>
      </c>
      <c r="AT13" s="93">
        <v>842.92</v>
      </c>
      <c r="AU13" s="92">
        <v>56.6</v>
      </c>
      <c r="AV13" s="92">
        <v>21</v>
      </c>
      <c r="AW13" s="92">
        <v>6.7</v>
      </c>
      <c r="AX13" s="92">
        <v>3.5</v>
      </c>
      <c r="AY13" s="92">
        <v>62.2</v>
      </c>
      <c r="AZ13" s="111">
        <v>1.251</v>
      </c>
      <c r="BA13" s="13">
        <v>2.927227</v>
      </c>
      <c r="BB13" s="13"/>
      <c r="BC13" s="93"/>
      <c r="BI13" s="13"/>
    </row>
    <row r="14" spans="1:61" ht="15.75">
      <c r="A14">
        <v>10</v>
      </c>
      <c r="B14" s="124">
        <v>10</v>
      </c>
      <c r="C14" s="125" t="s">
        <v>83</v>
      </c>
      <c r="D14" s="124" t="s">
        <v>85</v>
      </c>
      <c r="E14" s="124">
        <v>726</v>
      </c>
      <c r="F14" s="124">
        <v>20</v>
      </c>
      <c r="G14" s="124">
        <v>4105</v>
      </c>
      <c r="H14" s="126">
        <v>21</v>
      </c>
      <c r="I14" s="125">
        <v>55.1</v>
      </c>
      <c r="J14" s="113">
        <v>5210</v>
      </c>
      <c r="K14" s="114">
        <v>22.4</v>
      </c>
      <c r="L14" s="114">
        <v>6.7</v>
      </c>
      <c r="M14" s="114">
        <v>3.5</v>
      </c>
      <c r="N14" s="114">
        <v>62.2</v>
      </c>
      <c r="O14" s="115">
        <v>1.251</v>
      </c>
      <c r="P14" s="1"/>
      <c r="S14" s="105">
        <f t="shared" si="1"/>
        <v>726</v>
      </c>
      <c r="T14" s="105">
        <f t="shared" si="2"/>
        <v>4105</v>
      </c>
      <c r="U14" s="28"/>
      <c r="V14" s="15">
        <f>((T14/56)*(1-0.01176*(Y14-15)))/(S14*($U$2)/43560)</f>
        <v>204.3938142857143</v>
      </c>
      <c r="W14" s="15">
        <f>-(0.2*$U$10)-(0.8*$U$15)+($U$36)+V14</f>
        <v>205.59047874285716</v>
      </c>
      <c r="X14" s="16">
        <f>W14*($X$1-(0.05*(Y14-15)))</f>
        <v>842.9209628457145</v>
      </c>
      <c r="Y14" s="106">
        <f t="shared" si="13"/>
        <v>21</v>
      </c>
      <c r="Z14" s="15">
        <f t="shared" si="14"/>
        <v>55.1</v>
      </c>
      <c r="AA14" s="109">
        <f t="shared" si="15"/>
        <v>56.6</v>
      </c>
      <c r="AD14" t="str">
        <f t="shared" si="3"/>
        <v>Ag Venture</v>
      </c>
      <c r="AE14" t="str">
        <f t="shared" si="4"/>
        <v>RL8010HB</v>
      </c>
      <c r="AF14">
        <f t="shared" si="5"/>
        <v>205.6</v>
      </c>
      <c r="AG14" s="93">
        <f t="shared" si="6"/>
        <v>842.92</v>
      </c>
      <c r="AH14" s="92">
        <f t="shared" si="7"/>
        <v>56.6</v>
      </c>
      <c r="AI14" s="92">
        <f t="shared" si="8"/>
        <v>21</v>
      </c>
      <c r="AJ14" s="92">
        <f t="shared" si="9"/>
        <v>6.7</v>
      </c>
      <c r="AK14" s="92">
        <f t="shared" si="10"/>
        <v>3.5</v>
      </c>
      <c r="AL14" s="92">
        <f t="shared" si="11"/>
        <v>62.2</v>
      </c>
      <c r="AM14" s="111">
        <v>1.251</v>
      </c>
      <c r="AN14" s="13">
        <f t="shared" si="12"/>
        <v>2.927227</v>
      </c>
      <c r="AQ14" t="s">
        <v>88</v>
      </c>
      <c r="AR14" t="s">
        <v>90</v>
      </c>
      <c r="AS14">
        <v>205.5</v>
      </c>
      <c r="AT14" s="93">
        <v>848.86</v>
      </c>
      <c r="AU14" s="92">
        <v>55</v>
      </c>
      <c r="AV14" s="92">
        <v>20.4</v>
      </c>
      <c r="AW14" s="92">
        <v>6.9</v>
      </c>
      <c r="AX14" s="92">
        <v>3.8</v>
      </c>
      <c r="AY14" s="92">
        <v>61.3</v>
      </c>
      <c r="AZ14" s="111">
        <v>1.256</v>
      </c>
      <c r="BA14" s="13">
        <v>2.911655</v>
      </c>
      <c r="BC14" s="93"/>
      <c r="BI14" s="13"/>
    </row>
    <row r="15" spans="1:61" ht="15.75">
      <c r="A15">
        <v>11</v>
      </c>
      <c r="B15" s="124">
        <v>11</v>
      </c>
      <c r="C15" s="125" t="s">
        <v>73</v>
      </c>
      <c r="D15" s="124" t="s">
        <v>74</v>
      </c>
      <c r="E15" s="124">
        <v>726</v>
      </c>
      <c r="F15" s="124">
        <v>20</v>
      </c>
      <c r="G15" s="124">
        <v>4344</v>
      </c>
      <c r="H15" s="126">
        <v>21.1</v>
      </c>
      <c r="I15" s="125">
        <v>55.3</v>
      </c>
      <c r="J15" s="113">
        <v>5211</v>
      </c>
      <c r="K15" s="114">
        <v>22.2</v>
      </c>
      <c r="L15" s="114">
        <v>6.7</v>
      </c>
      <c r="M15" s="114">
        <v>3.6</v>
      </c>
      <c r="N15" s="114">
        <v>61.7</v>
      </c>
      <c r="O15" s="115">
        <v>1.256</v>
      </c>
      <c r="P15" s="1"/>
      <c r="S15" s="105">
        <f t="shared" si="1"/>
        <v>726</v>
      </c>
      <c r="T15" s="105">
        <f t="shared" si="2"/>
        <v>4344</v>
      </c>
      <c r="U15" s="13">
        <f>((T15/56)*(1-0.01176*(Y15-15)))/(S15*($U$2)/43560)</f>
        <v>216.02029371428569</v>
      </c>
      <c r="V15" s="28"/>
      <c r="W15" s="29"/>
      <c r="X15" s="30">
        <f>U15*($X$1-(0.05*(Y15-15)))</f>
        <v>884.6031027600001</v>
      </c>
      <c r="Y15" s="106">
        <f t="shared" si="13"/>
        <v>21.1</v>
      </c>
      <c r="Z15" s="15">
        <f t="shared" si="14"/>
        <v>55.3</v>
      </c>
      <c r="AA15" s="109">
        <f t="shared" si="15"/>
        <v>56.824999999999996</v>
      </c>
      <c r="AD15" t="str">
        <f t="shared" si="3"/>
        <v>Channel</v>
      </c>
      <c r="AE15" t="str">
        <f t="shared" si="4"/>
        <v>210-95STX</v>
      </c>
      <c r="AF15">
        <f t="shared" si="5"/>
        <v>0</v>
      </c>
      <c r="AG15" s="93">
        <f t="shared" si="6"/>
        <v>884.6</v>
      </c>
      <c r="AH15" s="92">
        <f t="shared" si="7"/>
        <v>56.8</v>
      </c>
      <c r="AI15" s="92">
        <f t="shared" si="8"/>
        <v>21.1</v>
      </c>
      <c r="AJ15" s="92">
        <f t="shared" si="9"/>
        <v>6.7</v>
      </c>
      <c r="AK15" s="92">
        <f t="shared" si="10"/>
        <v>3.6</v>
      </c>
      <c r="AL15" s="92">
        <f t="shared" si="11"/>
        <v>61.7</v>
      </c>
      <c r="AM15" s="111">
        <v>1.256</v>
      </c>
      <c r="AN15" s="13">
        <f t="shared" si="12"/>
        <v>2.926201</v>
      </c>
      <c r="AQ15" t="s">
        <v>102</v>
      </c>
      <c r="AR15" t="s">
        <v>103</v>
      </c>
      <c r="AS15">
        <v>205</v>
      </c>
      <c r="AT15" s="93">
        <v>819.87</v>
      </c>
      <c r="AU15" s="92">
        <v>55.1</v>
      </c>
      <c r="AV15" s="92">
        <v>23</v>
      </c>
      <c r="AW15" s="92">
        <v>6.7</v>
      </c>
      <c r="AX15" s="92">
        <v>3.7</v>
      </c>
      <c r="AY15" s="92">
        <v>61.2</v>
      </c>
      <c r="AZ15" s="111">
        <v>1.261</v>
      </c>
      <c r="BA15" s="13">
        <v>2.925175</v>
      </c>
      <c r="BC15" s="93"/>
      <c r="BI15" s="13"/>
    </row>
    <row r="16" spans="1:61" ht="15.75">
      <c r="A16">
        <v>12</v>
      </c>
      <c r="B16" s="124">
        <v>12</v>
      </c>
      <c r="C16" s="125" t="s">
        <v>69</v>
      </c>
      <c r="D16" s="124" t="s">
        <v>86</v>
      </c>
      <c r="E16" s="124">
        <v>726</v>
      </c>
      <c r="F16" s="124">
        <v>20</v>
      </c>
      <c r="G16" s="124">
        <v>4260</v>
      </c>
      <c r="H16" s="126">
        <v>19.8</v>
      </c>
      <c r="I16" s="125">
        <v>55.7</v>
      </c>
      <c r="J16" s="113">
        <v>5212</v>
      </c>
      <c r="K16" s="114">
        <v>19.9</v>
      </c>
      <c r="L16" s="114">
        <v>6.5</v>
      </c>
      <c r="M16" s="114">
        <v>3.1</v>
      </c>
      <c r="N16" s="114">
        <v>62.6</v>
      </c>
      <c r="O16" s="115">
        <v>1.251</v>
      </c>
      <c r="P16" s="1"/>
      <c r="S16" s="105">
        <f t="shared" si="1"/>
        <v>726</v>
      </c>
      <c r="T16" s="105">
        <f t="shared" si="2"/>
        <v>4260</v>
      </c>
      <c r="U16" s="28"/>
      <c r="V16" s="15">
        <f>((T16/56)*(1-0.01176*(Y16-15)))/(S16*($U$2)/43560)</f>
        <v>215.3320457142857</v>
      </c>
      <c r="W16" s="15">
        <f>-(0.8*$U$15)-(0.2*$U$20)+($U$36)+V16</f>
        <v>218.7701447428571</v>
      </c>
      <c r="X16" s="16">
        <f>W16*($X$1-(0.05*(Y16-15)))</f>
        <v>910.0838021302856</v>
      </c>
      <c r="Y16" s="106">
        <f t="shared" si="13"/>
        <v>19.8</v>
      </c>
      <c r="Z16" s="15">
        <f t="shared" si="14"/>
        <v>55.7</v>
      </c>
      <c r="AA16" s="109">
        <f t="shared" si="15"/>
        <v>56.900000000000006</v>
      </c>
      <c r="AD16" t="str">
        <f t="shared" si="3"/>
        <v>Pioneer</v>
      </c>
      <c r="AE16" t="str">
        <f t="shared" si="4"/>
        <v>P0636HR</v>
      </c>
      <c r="AF16">
        <f t="shared" si="5"/>
        <v>218.8</v>
      </c>
      <c r="AG16" s="93">
        <f t="shared" si="6"/>
        <v>910.08</v>
      </c>
      <c r="AH16" s="92">
        <f t="shared" si="7"/>
        <v>56.9</v>
      </c>
      <c r="AI16" s="92">
        <f t="shared" si="8"/>
        <v>19.8</v>
      </c>
      <c r="AJ16" s="92">
        <f t="shared" si="9"/>
        <v>6.5</v>
      </c>
      <c r="AK16" s="92">
        <f t="shared" si="10"/>
        <v>3.1</v>
      </c>
      <c r="AL16" s="92">
        <f t="shared" si="11"/>
        <v>62.6</v>
      </c>
      <c r="AM16" s="111">
        <v>1.251</v>
      </c>
      <c r="AN16" s="13">
        <f t="shared" si="12"/>
        <v>2.945115</v>
      </c>
      <c r="AQ16" t="s">
        <v>75</v>
      </c>
      <c r="AR16" t="s">
        <v>77</v>
      </c>
      <c r="AS16">
        <v>203.9</v>
      </c>
      <c r="AT16" s="93">
        <v>836.13</v>
      </c>
      <c r="AU16" s="92">
        <v>53.7</v>
      </c>
      <c r="AV16" s="92">
        <v>21</v>
      </c>
      <c r="AW16" s="92">
        <v>7</v>
      </c>
      <c r="AX16" s="92">
        <v>3.5</v>
      </c>
      <c r="AY16" s="92">
        <v>61.5</v>
      </c>
      <c r="AZ16" s="111">
        <v>1.266</v>
      </c>
      <c r="BA16" s="13">
        <v>2.912356</v>
      </c>
      <c r="BB16" s="13"/>
      <c r="BC16" s="93"/>
      <c r="BI16" s="13"/>
    </row>
    <row r="17" spans="1:61" ht="15.75">
      <c r="A17">
        <v>13</v>
      </c>
      <c r="B17" s="124">
        <v>13</v>
      </c>
      <c r="C17" s="125" t="s">
        <v>69</v>
      </c>
      <c r="D17" s="124" t="s">
        <v>87</v>
      </c>
      <c r="E17" s="124">
        <v>726</v>
      </c>
      <c r="F17" s="124">
        <v>20</v>
      </c>
      <c r="G17" s="124">
        <v>4010</v>
      </c>
      <c r="H17" s="126">
        <v>21.1</v>
      </c>
      <c r="I17" s="125">
        <v>56.6</v>
      </c>
      <c r="J17" s="113">
        <v>5213</v>
      </c>
      <c r="K17" s="114">
        <v>21.4</v>
      </c>
      <c r="L17" s="114">
        <v>6.9</v>
      </c>
      <c r="M17" s="114">
        <v>3.4</v>
      </c>
      <c r="N17" s="114">
        <v>61.7</v>
      </c>
      <c r="O17" s="115">
        <v>1.272</v>
      </c>
      <c r="P17" s="1"/>
      <c r="S17" s="105">
        <f t="shared" si="1"/>
        <v>726</v>
      </c>
      <c r="T17" s="105">
        <f t="shared" si="2"/>
        <v>4010</v>
      </c>
      <c r="U17" s="28"/>
      <c r="V17" s="15">
        <f>((T17/56)*(1-0.01176*(Y17-15)))/(S17*($U$2)/43560)</f>
        <v>199.4109985714286</v>
      </c>
      <c r="W17" s="15">
        <f>-(0.6*$U$15)-(0.4*$U$20)+($U$36)+V17</f>
        <v>203.35559205714287</v>
      </c>
      <c r="X17" s="16">
        <f>W17*($X$1-(0.05*(Y17-15)))</f>
        <v>832.7411494740002</v>
      </c>
      <c r="Y17" s="106">
        <f t="shared" si="13"/>
        <v>21.1</v>
      </c>
      <c r="Z17" s="15">
        <f t="shared" si="14"/>
        <v>56.6</v>
      </c>
      <c r="AA17" s="109">
        <f t="shared" si="15"/>
        <v>58.125</v>
      </c>
      <c r="AD17" t="str">
        <f t="shared" si="3"/>
        <v>Pioneer</v>
      </c>
      <c r="AE17" t="str">
        <f t="shared" si="4"/>
        <v>P1221AMXT</v>
      </c>
      <c r="AF17">
        <f t="shared" si="5"/>
        <v>203.4</v>
      </c>
      <c r="AG17" s="93">
        <f t="shared" si="6"/>
        <v>832.74</v>
      </c>
      <c r="AH17" s="92">
        <f t="shared" si="7"/>
        <v>58.1</v>
      </c>
      <c r="AI17" s="92">
        <f t="shared" si="8"/>
        <v>21.1</v>
      </c>
      <c r="AJ17" s="92">
        <f t="shared" si="9"/>
        <v>6.9</v>
      </c>
      <c r="AK17" s="92">
        <f t="shared" si="10"/>
        <v>3.4</v>
      </c>
      <c r="AL17" s="92">
        <f t="shared" si="11"/>
        <v>61.7</v>
      </c>
      <c r="AM17" s="111">
        <v>1.272</v>
      </c>
      <c r="AN17" s="13">
        <f t="shared" si="12"/>
        <v>2.920403</v>
      </c>
      <c r="AQ17" t="s">
        <v>69</v>
      </c>
      <c r="AR17" t="s">
        <v>87</v>
      </c>
      <c r="AS17">
        <v>203.4</v>
      </c>
      <c r="AT17" s="93">
        <v>832.74</v>
      </c>
      <c r="AU17" s="92">
        <v>58.1</v>
      </c>
      <c r="AV17" s="92">
        <v>21.1</v>
      </c>
      <c r="AW17" s="92">
        <v>6.9</v>
      </c>
      <c r="AX17" s="92">
        <v>3.4</v>
      </c>
      <c r="AY17" s="92">
        <v>61.7</v>
      </c>
      <c r="AZ17" s="111">
        <v>1.272</v>
      </c>
      <c r="BA17" s="13">
        <v>2.920403</v>
      </c>
      <c r="BB17" s="13"/>
      <c r="BC17" s="13"/>
      <c r="BD17" s="13"/>
      <c r="BE17" s="13"/>
      <c r="BF17" s="13"/>
      <c r="BG17" s="13"/>
      <c r="BH17" s="13"/>
      <c r="BI17" s="13"/>
    </row>
    <row r="18" spans="1:53" ht="15.75">
      <c r="A18">
        <v>14</v>
      </c>
      <c r="B18" s="124">
        <v>14</v>
      </c>
      <c r="C18" s="125" t="s">
        <v>88</v>
      </c>
      <c r="D18" s="124" t="s">
        <v>89</v>
      </c>
      <c r="E18" s="124">
        <v>726</v>
      </c>
      <c r="F18" s="124">
        <v>20</v>
      </c>
      <c r="G18" s="124">
        <v>4255</v>
      </c>
      <c r="H18" s="126">
        <v>19.7</v>
      </c>
      <c r="I18" s="125">
        <v>53.5</v>
      </c>
      <c r="J18" s="113">
        <v>5214</v>
      </c>
      <c r="K18" s="114">
        <v>19.8</v>
      </c>
      <c r="L18" s="114">
        <v>6.8</v>
      </c>
      <c r="M18" s="114">
        <v>3.4</v>
      </c>
      <c r="N18" s="114">
        <v>61.7</v>
      </c>
      <c r="O18" s="115">
        <v>1.24</v>
      </c>
      <c r="P18" s="1"/>
      <c r="S18" s="105">
        <f t="shared" si="1"/>
        <v>726</v>
      </c>
      <c r="T18" s="105">
        <f t="shared" si="2"/>
        <v>4255</v>
      </c>
      <c r="U18" s="29"/>
      <c r="V18" s="15">
        <f>((T18/56)*(1-0.01176*(Y18-15)))/(S18*($U$2)/43560)</f>
        <v>215.3473735714286</v>
      </c>
      <c r="W18" s="15">
        <f>-(0.4*$U$15)-(0.6*$U$20)+($U$36)+V18</f>
        <v>219.79846151428572</v>
      </c>
      <c r="X18" s="16">
        <f>W18*($X$1-(0.05*(Y18-15)))</f>
        <v>915.460592207</v>
      </c>
      <c r="Y18" s="106">
        <f t="shared" si="13"/>
        <v>19.7</v>
      </c>
      <c r="Z18" s="15">
        <f t="shared" si="14"/>
        <v>53.5</v>
      </c>
      <c r="AA18" s="109">
        <f t="shared" si="15"/>
        <v>54.675</v>
      </c>
      <c r="AD18" t="str">
        <f t="shared" si="3"/>
        <v>Latham</v>
      </c>
      <c r="AE18" t="str">
        <f t="shared" si="4"/>
        <v>LH5534</v>
      </c>
      <c r="AF18">
        <f t="shared" si="5"/>
        <v>219.8</v>
      </c>
      <c r="AG18" s="93">
        <f t="shared" si="6"/>
        <v>915.46</v>
      </c>
      <c r="AH18" s="92">
        <f t="shared" si="7"/>
        <v>54.7</v>
      </c>
      <c r="AI18" s="92">
        <f t="shared" si="8"/>
        <v>19.7</v>
      </c>
      <c r="AJ18" s="92">
        <f t="shared" si="9"/>
        <v>6.8</v>
      </c>
      <c r="AK18" s="92">
        <f t="shared" si="10"/>
        <v>3.4</v>
      </c>
      <c r="AL18" s="92">
        <f t="shared" si="11"/>
        <v>61.7</v>
      </c>
      <c r="AM18" s="111">
        <v>1.24</v>
      </c>
      <c r="AN18" s="13">
        <f t="shared" si="12"/>
        <v>2.9218769999999994</v>
      </c>
      <c r="AQ18" t="s">
        <v>83</v>
      </c>
      <c r="AR18" t="s">
        <v>84</v>
      </c>
      <c r="AS18">
        <v>202.7</v>
      </c>
      <c r="AT18" s="93">
        <v>829.86</v>
      </c>
      <c r="AU18" s="92">
        <v>55.5</v>
      </c>
      <c r="AV18" s="92">
        <v>21.1</v>
      </c>
      <c r="AW18" s="92">
        <v>6.5</v>
      </c>
      <c r="AX18" s="92">
        <v>3.5</v>
      </c>
      <c r="AY18" s="92">
        <v>61.7</v>
      </c>
      <c r="AZ18" s="111">
        <v>1.236</v>
      </c>
      <c r="BA18" s="13">
        <v>2.936496</v>
      </c>
    </row>
    <row r="19" spans="1:53" ht="15.75">
      <c r="A19">
        <v>15</v>
      </c>
      <c r="B19" s="124">
        <v>15</v>
      </c>
      <c r="C19" s="125" t="s">
        <v>88</v>
      </c>
      <c r="D19" s="124" t="s">
        <v>90</v>
      </c>
      <c r="E19" s="124">
        <v>726</v>
      </c>
      <c r="F19" s="124">
        <v>20</v>
      </c>
      <c r="G19" s="124">
        <v>3998</v>
      </c>
      <c r="H19" s="126">
        <v>20.4</v>
      </c>
      <c r="I19" s="125">
        <v>53.6</v>
      </c>
      <c r="J19" s="113">
        <v>5215</v>
      </c>
      <c r="K19" s="114">
        <v>21.8</v>
      </c>
      <c r="L19" s="114">
        <v>6.9</v>
      </c>
      <c r="M19" s="114">
        <v>3.8</v>
      </c>
      <c r="N19" s="114">
        <v>61.3</v>
      </c>
      <c r="O19" s="115">
        <v>1.256</v>
      </c>
      <c r="P19" s="1"/>
      <c r="S19" s="105">
        <f t="shared" si="1"/>
        <v>726</v>
      </c>
      <c r="T19" s="105">
        <f t="shared" si="2"/>
        <v>3998</v>
      </c>
      <c r="U19" s="28"/>
      <c r="V19" s="15">
        <f>((T19/56)*(1-0.01176*(Y19-15)))/(S19*($U$2)/43560)</f>
        <v>200.57737542857143</v>
      </c>
      <c r="W19" s="15">
        <f>-(0.2*$U$15)-(0.8*$U$20)+($U$36)+V19</f>
        <v>205.53495782857138</v>
      </c>
      <c r="X19" s="16">
        <f>W19*($X$1-(0.05*(Y19-15)))</f>
        <v>848.859375832</v>
      </c>
      <c r="Y19" s="106">
        <f t="shared" si="13"/>
        <v>20.4</v>
      </c>
      <c r="Z19" s="15">
        <f t="shared" si="14"/>
        <v>53.6</v>
      </c>
      <c r="AA19" s="109">
        <f t="shared" si="15"/>
        <v>54.95</v>
      </c>
      <c r="AD19" t="str">
        <f t="shared" si="3"/>
        <v>Latham</v>
      </c>
      <c r="AE19" t="str">
        <f t="shared" si="4"/>
        <v>LH5984</v>
      </c>
      <c r="AF19">
        <f t="shared" si="5"/>
        <v>205.5</v>
      </c>
      <c r="AG19" s="93">
        <f t="shared" si="6"/>
        <v>848.86</v>
      </c>
      <c r="AH19" s="92">
        <f t="shared" si="7"/>
        <v>55</v>
      </c>
      <c r="AI19" s="92">
        <f t="shared" si="8"/>
        <v>20.4</v>
      </c>
      <c r="AJ19" s="92">
        <f t="shared" si="9"/>
        <v>6.9</v>
      </c>
      <c r="AK19" s="92">
        <f t="shared" si="10"/>
        <v>3.8</v>
      </c>
      <c r="AL19" s="92">
        <f t="shared" si="11"/>
        <v>61.3</v>
      </c>
      <c r="AM19" s="111">
        <v>1.256</v>
      </c>
      <c r="AN19" s="13">
        <f t="shared" si="12"/>
        <v>2.911655</v>
      </c>
      <c r="AQ19" t="s">
        <v>97</v>
      </c>
      <c r="AR19" t="s">
        <v>99</v>
      </c>
      <c r="AS19">
        <v>201.8</v>
      </c>
      <c r="AT19" s="93">
        <v>803.18</v>
      </c>
      <c r="AU19" s="92">
        <v>54.7</v>
      </c>
      <c r="AV19" s="92">
        <v>23.4</v>
      </c>
      <c r="AW19" s="92">
        <v>8.3</v>
      </c>
      <c r="AX19" s="92">
        <v>4.1</v>
      </c>
      <c r="AY19" s="92">
        <v>59.2</v>
      </c>
      <c r="AZ19" s="111">
        <v>1.299</v>
      </c>
      <c r="BA19" s="13">
        <v>2.833761</v>
      </c>
    </row>
    <row r="20" spans="1:53" ht="15.75">
      <c r="A20">
        <v>16</v>
      </c>
      <c r="B20" s="124">
        <v>16</v>
      </c>
      <c r="C20" s="125" t="s">
        <v>73</v>
      </c>
      <c r="D20" s="124" t="s">
        <v>74</v>
      </c>
      <c r="E20" s="124">
        <v>726</v>
      </c>
      <c r="F20" s="124">
        <v>20</v>
      </c>
      <c r="G20" s="124">
        <v>4250</v>
      </c>
      <c r="H20" s="126">
        <v>20.3</v>
      </c>
      <c r="I20" s="125">
        <v>55.2</v>
      </c>
      <c r="J20" s="113">
        <v>5216</v>
      </c>
      <c r="K20" s="114">
        <v>20.8</v>
      </c>
      <c r="L20" s="114">
        <v>6.5</v>
      </c>
      <c r="M20" s="114">
        <v>3.6</v>
      </c>
      <c r="N20" s="114">
        <v>61.4</v>
      </c>
      <c r="O20" s="115">
        <v>1.231</v>
      </c>
      <c r="P20" s="1"/>
      <c r="S20" s="105">
        <f t="shared" si="1"/>
        <v>726</v>
      </c>
      <c r="T20" s="105">
        <f t="shared" si="2"/>
        <v>4250</v>
      </c>
      <c r="U20" s="13">
        <f>((T20/56)*(1-0.01176*(Y20-15)))/(S20*($U$2)/43560)</f>
        <v>213.48782142857144</v>
      </c>
      <c r="V20" s="28"/>
      <c r="W20" s="29"/>
      <c r="X20" s="30">
        <f>U20*($X$1-(0.05*(Y20-15)))</f>
        <v>882.772141607143</v>
      </c>
      <c r="Y20" s="106">
        <f t="shared" si="13"/>
        <v>20.3</v>
      </c>
      <c r="Z20" s="15">
        <f t="shared" si="14"/>
        <v>55.2</v>
      </c>
      <c r="AA20" s="109">
        <f t="shared" si="15"/>
        <v>56.525000000000006</v>
      </c>
      <c r="AD20" t="str">
        <f t="shared" si="3"/>
        <v>Channel</v>
      </c>
      <c r="AE20" t="str">
        <f t="shared" si="4"/>
        <v>210-95STX</v>
      </c>
      <c r="AF20">
        <f t="shared" si="5"/>
        <v>0</v>
      </c>
      <c r="AG20" s="93">
        <f t="shared" si="6"/>
        <v>882.77</v>
      </c>
      <c r="AH20" s="92">
        <f t="shared" si="7"/>
        <v>56.5</v>
      </c>
      <c r="AI20" s="92">
        <f t="shared" si="8"/>
        <v>20.3</v>
      </c>
      <c r="AJ20" s="92">
        <f t="shared" si="9"/>
        <v>6.5</v>
      </c>
      <c r="AK20" s="92">
        <f t="shared" si="10"/>
        <v>3.6</v>
      </c>
      <c r="AL20" s="92">
        <f t="shared" si="11"/>
        <v>61.4</v>
      </c>
      <c r="AM20" s="111">
        <v>1.231</v>
      </c>
      <c r="AN20" s="13">
        <f t="shared" si="12"/>
        <v>2.93418</v>
      </c>
      <c r="AQ20" t="s">
        <v>75</v>
      </c>
      <c r="AR20" t="s">
        <v>76</v>
      </c>
      <c r="AS20">
        <v>201.2</v>
      </c>
      <c r="AT20" s="93">
        <v>832.78</v>
      </c>
      <c r="AU20" s="92">
        <v>56.3</v>
      </c>
      <c r="AV20" s="92">
        <v>20.2</v>
      </c>
      <c r="AW20" s="92">
        <v>6.4</v>
      </c>
      <c r="AX20" s="92">
        <v>3.6</v>
      </c>
      <c r="AY20" s="92">
        <v>61.7</v>
      </c>
      <c r="AZ20" s="111">
        <v>1.236</v>
      </c>
      <c r="BA20" s="13">
        <v>2.9404269999999997</v>
      </c>
    </row>
    <row r="21" spans="1:53" ht="15.75">
      <c r="A21">
        <v>17</v>
      </c>
      <c r="B21" s="124">
        <v>17</v>
      </c>
      <c r="C21" s="125" t="s">
        <v>91</v>
      </c>
      <c r="D21" s="124" t="s">
        <v>92</v>
      </c>
      <c r="E21" s="124">
        <v>726</v>
      </c>
      <c r="F21" s="124">
        <v>20</v>
      </c>
      <c r="G21" s="124">
        <v>3730</v>
      </c>
      <c r="H21" s="126">
        <v>18.7</v>
      </c>
      <c r="I21" s="125">
        <v>56.8</v>
      </c>
      <c r="J21" s="113">
        <v>5217</v>
      </c>
      <c r="K21" s="114">
        <v>18.6</v>
      </c>
      <c r="L21" s="114">
        <v>6.7</v>
      </c>
      <c r="M21" s="114">
        <v>3.9</v>
      </c>
      <c r="N21" s="114">
        <v>61.2</v>
      </c>
      <c r="O21" s="115">
        <v>1.248</v>
      </c>
      <c r="P21" s="1"/>
      <c r="S21" s="105">
        <f t="shared" si="1"/>
        <v>726</v>
      </c>
      <c r="T21" s="105">
        <f t="shared" si="2"/>
        <v>3730</v>
      </c>
      <c r="U21" s="28"/>
      <c r="V21" s="15">
        <f>((T21/56)*(1-0.01176*(Y21-15)))/(S21*($U$2)/43560)</f>
        <v>191.1267985714286</v>
      </c>
      <c r="W21" s="15">
        <f>-(0.8*$U$20)-(0.2*$U$25)+($U$36)+V21</f>
        <v>197.11819605714282</v>
      </c>
      <c r="X21" s="16">
        <f>W21*($X$1-(0.05*(Y21-15)))</f>
        <v>830.8531963808572</v>
      </c>
      <c r="Y21" s="106">
        <f t="shared" si="13"/>
        <v>18.7</v>
      </c>
      <c r="Z21" s="15">
        <f t="shared" si="14"/>
        <v>56.8</v>
      </c>
      <c r="AA21" s="109">
        <f t="shared" si="15"/>
        <v>57.724999999999994</v>
      </c>
      <c r="AD21" t="str">
        <f t="shared" si="3"/>
        <v>Cornelius</v>
      </c>
      <c r="AE21" t="str">
        <f t="shared" si="4"/>
        <v>C344VT3P</v>
      </c>
      <c r="AF21">
        <f t="shared" si="5"/>
        <v>197.1</v>
      </c>
      <c r="AG21" s="93">
        <f t="shared" si="6"/>
        <v>830.85</v>
      </c>
      <c r="AH21" s="92">
        <f t="shared" si="7"/>
        <v>57.7</v>
      </c>
      <c r="AI21" s="92">
        <f t="shared" si="8"/>
        <v>18.7</v>
      </c>
      <c r="AJ21" s="92">
        <f t="shared" si="9"/>
        <v>6.7</v>
      </c>
      <c r="AK21" s="92">
        <f t="shared" si="10"/>
        <v>3.9</v>
      </c>
      <c r="AL21" s="92">
        <f t="shared" si="11"/>
        <v>61.2</v>
      </c>
      <c r="AM21" s="111">
        <v>1.248</v>
      </c>
      <c r="AN21" s="13">
        <f t="shared" si="12"/>
        <v>2.9201559999999995</v>
      </c>
      <c r="AQ21" t="s">
        <v>102</v>
      </c>
      <c r="AR21" t="s">
        <v>104</v>
      </c>
      <c r="AS21">
        <v>199.1</v>
      </c>
      <c r="AT21" s="93">
        <v>817.22</v>
      </c>
      <c r="AU21" s="92">
        <v>55.5</v>
      </c>
      <c r="AV21" s="92">
        <v>20.9</v>
      </c>
      <c r="AW21" s="92">
        <v>6.4</v>
      </c>
      <c r="AX21" s="92">
        <v>3.5</v>
      </c>
      <c r="AY21" s="92">
        <v>61.5</v>
      </c>
      <c r="AZ21" s="111">
        <v>1.212</v>
      </c>
      <c r="BA21" s="13">
        <v>2.9390019999999994</v>
      </c>
    </row>
    <row r="22" spans="1:53" ht="15.75">
      <c r="A22">
        <v>18</v>
      </c>
      <c r="B22" s="124">
        <v>18</v>
      </c>
      <c r="C22" s="125" t="s">
        <v>91</v>
      </c>
      <c r="D22" s="124" t="s">
        <v>93</v>
      </c>
      <c r="E22" s="124">
        <v>726</v>
      </c>
      <c r="F22" s="124">
        <v>20</v>
      </c>
      <c r="G22" s="124">
        <v>4170</v>
      </c>
      <c r="H22" s="126">
        <v>19.7</v>
      </c>
      <c r="I22" s="125">
        <v>56</v>
      </c>
      <c r="J22" s="113">
        <v>5218</v>
      </c>
      <c r="K22" s="114">
        <v>20.4</v>
      </c>
      <c r="L22" s="114">
        <v>7</v>
      </c>
      <c r="M22" s="114">
        <v>3.5</v>
      </c>
      <c r="N22" s="114">
        <v>61.7</v>
      </c>
      <c r="O22" s="115">
        <v>1.261</v>
      </c>
      <c r="P22" s="1"/>
      <c r="S22" s="105">
        <f t="shared" si="1"/>
        <v>726</v>
      </c>
      <c r="T22" s="105">
        <f t="shared" si="2"/>
        <v>4170</v>
      </c>
      <c r="U22" s="28"/>
      <c r="V22" s="15">
        <f>((T22/56)*(1-0.01176*(Y22-15)))/(S22*($U$2)/43560)</f>
        <v>211.04548714285713</v>
      </c>
      <c r="W22" s="15">
        <f>-(0.6*$U$20)-(0.4*$U$25)+($U$36)+V22</f>
        <v>217.56420525714282</v>
      </c>
      <c r="X22" s="16">
        <f>W22*($X$1-(0.05*(Y22-15)))</f>
        <v>906.1549148959998</v>
      </c>
      <c r="Y22" s="106">
        <f t="shared" si="13"/>
        <v>19.7</v>
      </c>
      <c r="Z22" s="15">
        <f t="shared" si="14"/>
        <v>56</v>
      </c>
      <c r="AA22" s="109">
        <f t="shared" si="15"/>
        <v>57.175</v>
      </c>
      <c r="AD22" t="str">
        <f t="shared" si="3"/>
        <v>Cornelius</v>
      </c>
      <c r="AE22" t="str">
        <f t="shared" si="4"/>
        <v>C533SS</v>
      </c>
      <c r="AF22">
        <f t="shared" si="5"/>
        <v>217.6</v>
      </c>
      <c r="AG22" s="93">
        <f t="shared" si="6"/>
        <v>906.15</v>
      </c>
      <c r="AH22" s="92">
        <f t="shared" si="7"/>
        <v>57.2</v>
      </c>
      <c r="AI22" s="92">
        <f t="shared" si="8"/>
        <v>19.7</v>
      </c>
      <c r="AJ22" s="92">
        <f t="shared" si="9"/>
        <v>7</v>
      </c>
      <c r="AK22" s="92">
        <f t="shared" si="10"/>
        <v>3.5</v>
      </c>
      <c r="AL22" s="92">
        <f t="shared" si="11"/>
        <v>61.7</v>
      </c>
      <c r="AM22" s="111">
        <v>1.261</v>
      </c>
      <c r="AN22" s="13">
        <f t="shared" si="12"/>
        <v>2.911711</v>
      </c>
      <c r="AQ22" t="s">
        <v>80</v>
      </c>
      <c r="AR22" t="s">
        <v>82</v>
      </c>
      <c r="AS22">
        <v>198.9</v>
      </c>
      <c r="AT22" s="93">
        <v>819.47</v>
      </c>
      <c r="AU22" s="92">
        <v>54.3</v>
      </c>
      <c r="AV22" s="92">
        <v>20.6</v>
      </c>
      <c r="AW22" s="92">
        <v>6.3</v>
      </c>
      <c r="AX22" s="92">
        <v>3.2</v>
      </c>
      <c r="AY22" s="92">
        <v>62.4</v>
      </c>
      <c r="AZ22" s="111">
        <v>1.238</v>
      </c>
      <c r="BA22" s="13">
        <v>2.952971</v>
      </c>
    </row>
    <row r="23" spans="1:53" ht="15.75">
      <c r="A23">
        <v>19</v>
      </c>
      <c r="B23" s="124">
        <v>19</v>
      </c>
      <c r="C23" s="125" t="s">
        <v>94</v>
      </c>
      <c r="D23" s="124" t="s">
        <v>95</v>
      </c>
      <c r="E23" s="124">
        <v>726</v>
      </c>
      <c r="F23" s="124">
        <v>20</v>
      </c>
      <c r="G23" s="124">
        <v>4218</v>
      </c>
      <c r="H23" s="126">
        <v>20.8</v>
      </c>
      <c r="I23" s="125">
        <v>55.2</v>
      </c>
      <c r="J23" s="113">
        <v>5219</v>
      </c>
      <c r="K23" s="114">
        <v>21.8</v>
      </c>
      <c r="L23" s="114">
        <v>6.3</v>
      </c>
      <c r="M23" s="114">
        <v>3.5</v>
      </c>
      <c r="N23" s="114">
        <v>62.1</v>
      </c>
      <c r="O23" s="115">
        <v>1.259</v>
      </c>
      <c r="P23" s="1"/>
      <c r="S23" s="105">
        <f t="shared" si="1"/>
        <v>726</v>
      </c>
      <c r="T23" s="105">
        <f t="shared" si="2"/>
        <v>4218</v>
      </c>
      <c r="U23" s="29"/>
      <c r="V23" s="15">
        <f>((T23/56)*(1-0.01176*(Y23-15)))/(S23*($U$2)/43560)</f>
        <v>210.5517137142857</v>
      </c>
      <c r="W23" s="15">
        <f>-(0.4*$U$20)-(0.6*$U$25)+($U$36)+V23</f>
        <v>217.59775245714283</v>
      </c>
      <c r="X23" s="16">
        <f>W23*($X$1-(0.05*(Y23-15)))</f>
        <v>894.3267625988572</v>
      </c>
      <c r="Y23" s="106">
        <f t="shared" si="13"/>
        <v>20.8</v>
      </c>
      <c r="Z23" s="15">
        <f t="shared" si="14"/>
        <v>55.2</v>
      </c>
      <c r="AA23" s="109">
        <f t="shared" si="15"/>
        <v>56.650000000000006</v>
      </c>
      <c r="AD23" t="str">
        <f t="shared" si="3"/>
        <v>Wyffels</v>
      </c>
      <c r="AE23" t="str">
        <f t="shared" si="4"/>
        <v>W6878</v>
      </c>
      <c r="AF23">
        <f t="shared" si="5"/>
        <v>217.6</v>
      </c>
      <c r="AG23" s="93">
        <f t="shared" si="6"/>
        <v>894.33</v>
      </c>
      <c r="AH23" s="92">
        <f t="shared" si="7"/>
        <v>56.7</v>
      </c>
      <c r="AI23" s="92">
        <f t="shared" si="8"/>
        <v>20.8</v>
      </c>
      <c r="AJ23" s="92">
        <f t="shared" si="9"/>
        <v>6.3</v>
      </c>
      <c r="AK23" s="92">
        <f t="shared" si="10"/>
        <v>3.5</v>
      </c>
      <c r="AL23" s="92">
        <f t="shared" si="11"/>
        <v>62.1</v>
      </c>
      <c r="AM23" s="111">
        <v>1.259</v>
      </c>
      <c r="AN23" s="13">
        <f t="shared" si="12"/>
        <v>2.9506669999999997</v>
      </c>
      <c r="AQ23" t="s">
        <v>73</v>
      </c>
      <c r="AR23" t="s">
        <v>78</v>
      </c>
      <c r="AS23">
        <v>197.4</v>
      </c>
      <c r="AT23" s="93">
        <v>829.19</v>
      </c>
      <c r="AU23" s="92">
        <v>54.2</v>
      </c>
      <c r="AV23" s="92">
        <v>19</v>
      </c>
      <c r="AW23" s="92">
        <v>6.3</v>
      </c>
      <c r="AX23" s="92">
        <v>3.6</v>
      </c>
      <c r="AY23" s="92">
        <v>61.7</v>
      </c>
      <c r="AZ23" s="111">
        <v>1.225</v>
      </c>
      <c r="BA23" s="13">
        <v>2.9446099999999995</v>
      </c>
    </row>
    <row r="24" spans="1:53" ht="15.75">
      <c r="A24">
        <v>20</v>
      </c>
      <c r="B24" s="124">
        <v>20</v>
      </c>
      <c r="C24" s="125" t="s">
        <v>94</v>
      </c>
      <c r="D24" s="124" t="s">
        <v>96</v>
      </c>
      <c r="E24" s="124">
        <v>726</v>
      </c>
      <c r="F24" s="124">
        <v>20</v>
      </c>
      <c r="G24" s="124">
        <v>3930</v>
      </c>
      <c r="H24" s="126">
        <v>19.8</v>
      </c>
      <c r="I24" s="125">
        <v>55.3</v>
      </c>
      <c r="J24" s="113">
        <v>5220</v>
      </c>
      <c r="K24" s="114">
        <v>19</v>
      </c>
      <c r="L24" s="114">
        <v>6.7</v>
      </c>
      <c r="M24" s="114">
        <v>3.3</v>
      </c>
      <c r="N24" s="114">
        <v>62</v>
      </c>
      <c r="O24" s="115">
        <v>1.25</v>
      </c>
      <c r="P24" s="1"/>
      <c r="S24" s="105">
        <f t="shared" si="1"/>
        <v>726</v>
      </c>
      <c r="T24" s="105">
        <f t="shared" si="2"/>
        <v>3930</v>
      </c>
      <c r="U24" s="28"/>
      <c r="V24" s="15">
        <f>((T24/56)*(1-0.01176*(Y24-15)))/(S24*($U$2)/43560)</f>
        <v>198.65139428571428</v>
      </c>
      <c r="W24" s="15">
        <f>-(0.2*$U$20)-(0.8*$U$25)+($U$36)+V24</f>
        <v>206.2247536571428</v>
      </c>
      <c r="X24" s="16">
        <f>W24*($X$1-(0.05*(Y24-15)))</f>
        <v>857.894975213714</v>
      </c>
      <c r="Y24" s="106">
        <f t="shared" si="13"/>
        <v>19.8</v>
      </c>
      <c r="Z24" s="15">
        <f t="shared" si="14"/>
        <v>55.3</v>
      </c>
      <c r="AA24" s="109">
        <f t="shared" si="15"/>
        <v>56.5</v>
      </c>
      <c r="AD24" t="str">
        <f t="shared" si="3"/>
        <v>Wyffels</v>
      </c>
      <c r="AE24" t="str">
        <f t="shared" si="4"/>
        <v>W4797</v>
      </c>
      <c r="AF24">
        <f t="shared" si="5"/>
        <v>206.2</v>
      </c>
      <c r="AG24" s="93">
        <f t="shared" si="6"/>
        <v>857.89</v>
      </c>
      <c r="AH24" s="92">
        <f t="shared" si="7"/>
        <v>56.5</v>
      </c>
      <c r="AI24" s="92">
        <f t="shared" si="8"/>
        <v>19.8</v>
      </c>
      <c r="AJ24" s="92">
        <f t="shared" si="9"/>
        <v>6.7</v>
      </c>
      <c r="AK24" s="92">
        <f t="shared" si="10"/>
        <v>3.3</v>
      </c>
      <c r="AL24" s="92">
        <f t="shared" si="11"/>
        <v>62</v>
      </c>
      <c r="AM24" s="111">
        <v>1.25</v>
      </c>
      <c r="AN24" s="13">
        <f t="shared" si="12"/>
        <v>2.9304399999999995</v>
      </c>
      <c r="AQ24" t="s">
        <v>80</v>
      </c>
      <c r="AR24" t="s">
        <v>81</v>
      </c>
      <c r="AS24">
        <v>197.1</v>
      </c>
      <c r="AT24" s="93">
        <v>815.88</v>
      </c>
      <c r="AU24" s="92">
        <v>55.3</v>
      </c>
      <c r="AV24" s="92">
        <v>20.2</v>
      </c>
      <c r="AW24" s="92">
        <v>6.3</v>
      </c>
      <c r="AX24" s="92">
        <v>3.4</v>
      </c>
      <c r="AY24" s="92">
        <v>62</v>
      </c>
      <c r="AZ24" s="111">
        <v>1.232</v>
      </c>
      <c r="BA24" s="13">
        <v>2.9488549999999996</v>
      </c>
    </row>
    <row r="25" spans="1:53" ht="15.75">
      <c r="A25">
        <v>21</v>
      </c>
      <c r="B25" s="124">
        <v>21</v>
      </c>
      <c r="C25" s="125" t="s">
        <v>73</v>
      </c>
      <c r="D25" s="124" t="s">
        <v>74</v>
      </c>
      <c r="E25" s="124">
        <v>726</v>
      </c>
      <c r="F25" s="124">
        <v>20</v>
      </c>
      <c r="G25" s="124">
        <v>4224</v>
      </c>
      <c r="H25" s="126">
        <v>20.8</v>
      </c>
      <c r="I25" s="125">
        <v>54.9</v>
      </c>
      <c r="J25" s="113">
        <v>5221</v>
      </c>
      <c r="K25" s="114">
        <v>21.3</v>
      </c>
      <c r="L25" s="114">
        <v>6.5</v>
      </c>
      <c r="M25" s="114">
        <v>3.6</v>
      </c>
      <c r="N25" s="114">
        <v>61.7</v>
      </c>
      <c r="O25" s="115">
        <v>1.239</v>
      </c>
      <c r="P25" s="1"/>
      <c r="S25" s="105">
        <f t="shared" si="1"/>
        <v>726</v>
      </c>
      <c r="T25" s="105">
        <f t="shared" si="2"/>
        <v>4224</v>
      </c>
      <c r="U25" s="13">
        <f>((T25/56)*(1-0.01176*(Y25-15)))/(S25*($U$2)/43560)</f>
        <v>210.85121828571428</v>
      </c>
      <c r="V25" s="28"/>
      <c r="W25" s="29"/>
      <c r="X25" s="30">
        <f>U25*($X$1-(0.05*(Y25-15)))</f>
        <v>866.5985071542858</v>
      </c>
      <c r="Y25" s="106">
        <f t="shared" si="13"/>
        <v>20.8</v>
      </c>
      <c r="Z25" s="15">
        <f t="shared" si="14"/>
        <v>54.9</v>
      </c>
      <c r="AA25" s="109">
        <f t="shared" si="15"/>
        <v>56.35</v>
      </c>
      <c r="AD25" t="str">
        <f t="shared" si="3"/>
        <v>Channel</v>
      </c>
      <c r="AE25" t="str">
        <f t="shared" si="4"/>
        <v>210-95STX</v>
      </c>
      <c r="AF25">
        <f t="shared" si="5"/>
        <v>0</v>
      </c>
      <c r="AG25" s="93">
        <f t="shared" si="6"/>
        <v>866.6</v>
      </c>
      <c r="AH25" s="92">
        <f t="shared" si="7"/>
        <v>56.4</v>
      </c>
      <c r="AI25" s="92">
        <f t="shared" si="8"/>
        <v>20.8</v>
      </c>
      <c r="AJ25" s="92">
        <f t="shared" si="9"/>
        <v>6.5</v>
      </c>
      <c r="AK25" s="92">
        <f t="shared" si="10"/>
        <v>3.6</v>
      </c>
      <c r="AL25" s="92">
        <f t="shared" si="11"/>
        <v>61.7</v>
      </c>
      <c r="AM25" s="111">
        <v>1.239</v>
      </c>
      <c r="AN25" s="13">
        <f t="shared" si="12"/>
        <v>2.935212</v>
      </c>
      <c r="AQ25" t="s">
        <v>91</v>
      </c>
      <c r="AR25" t="s">
        <v>92</v>
      </c>
      <c r="AS25">
        <v>197.1</v>
      </c>
      <c r="AT25" s="93">
        <v>830.85</v>
      </c>
      <c r="AU25" s="92">
        <v>57.7</v>
      </c>
      <c r="AV25" s="92">
        <v>18.7</v>
      </c>
      <c r="AW25" s="92">
        <v>6.7</v>
      </c>
      <c r="AX25" s="92">
        <v>3.9</v>
      </c>
      <c r="AY25" s="92">
        <v>61.2</v>
      </c>
      <c r="AZ25" s="111">
        <v>1.248</v>
      </c>
      <c r="BA25" s="13">
        <v>2.9201559999999995</v>
      </c>
    </row>
    <row r="26" spans="1:53" ht="15.75">
      <c r="A26">
        <v>22</v>
      </c>
      <c r="B26" s="124">
        <v>22</v>
      </c>
      <c r="C26" s="125" t="s">
        <v>97</v>
      </c>
      <c r="D26" s="124" t="s">
        <v>98</v>
      </c>
      <c r="E26" s="124">
        <v>726</v>
      </c>
      <c r="F26" s="124">
        <v>20</v>
      </c>
      <c r="G26" s="124">
        <v>4440</v>
      </c>
      <c r="H26" s="126">
        <v>20.6</v>
      </c>
      <c r="I26" s="125">
        <v>54.4</v>
      </c>
      <c r="J26" s="113">
        <v>5222</v>
      </c>
      <c r="K26" s="114">
        <v>22.1</v>
      </c>
      <c r="L26" s="114">
        <v>5.9</v>
      </c>
      <c r="M26" s="114">
        <v>3.6</v>
      </c>
      <c r="N26" s="114">
        <v>61.3</v>
      </c>
      <c r="O26" s="115">
        <v>1.23</v>
      </c>
      <c r="P26" s="1"/>
      <c r="S26" s="105">
        <f t="shared" si="1"/>
        <v>726</v>
      </c>
      <c r="T26" s="105">
        <f t="shared" si="2"/>
        <v>4440</v>
      </c>
      <c r="U26" s="28"/>
      <c r="V26" s="15">
        <f>((T26/56)*(1-0.01176*(Y26-15)))/(S26*($U$2)/43560)</f>
        <v>222.1928228571429</v>
      </c>
      <c r="W26" s="15">
        <f>-(0.8*$U$25)-(0.2*$U$30)+($U$36)+V26</f>
        <v>228.31678365714285</v>
      </c>
      <c r="X26" s="16">
        <f>W26*($X$1-(0.05*(Y26-15)))</f>
        <v>940.6651486674285</v>
      </c>
      <c r="Y26" s="106">
        <f t="shared" si="13"/>
        <v>20.6</v>
      </c>
      <c r="Z26" s="15">
        <f t="shared" si="14"/>
        <v>54.4</v>
      </c>
      <c r="AA26" s="109">
        <f t="shared" si="15"/>
        <v>55.8</v>
      </c>
      <c r="AD26" t="str">
        <f t="shared" si="3"/>
        <v>Dekalb</v>
      </c>
      <c r="AE26" t="str">
        <f t="shared" si="4"/>
        <v>DKC61-16</v>
      </c>
      <c r="AF26">
        <f t="shared" si="5"/>
        <v>228.3</v>
      </c>
      <c r="AG26" s="93">
        <f t="shared" si="6"/>
        <v>940.67</v>
      </c>
      <c r="AH26" s="92">
        <f t="shared" si="7"/>
        <v>55.8</v>
      </c>
      <c r="AI26" s="92">
        <f t="shared" si="8"/>
        <v>20.6</v>
      </c>
      <c r="AJ26" s="92">
        <f t="shared" si="9"/>
        <v>5.9</v>
      </c>
      <c r="AK26" s="92">
        <f t="shared" si="10"/>
        <v>3.6</v>
      </c>
      <c r="AL26" s="92">
        <f t="shared" si="11"/>
        <v>61.3</v>
      </c>
      <c r="AM26" s="111">
        <v>1.23</v>
      </c>
      <c r="AN26" s="13">
        <f t="shared" si="12"/>
        <v>2.9676629999999995</v>
      </c>
      <c r="AQ26" t="s">
        <v>73</v>
      </c>
      <c r="AR26" t="s">
        <v>79</v>
      </c>
      <c r="AS26">
        <v>192.3</v>
      </c>
      <c r="AT26" s="93">
        <v>812.45</v>
      </c>
      <c r="AU26" s="92">
        <v>56.2</v>
      </c>
      <c r="AV26" s="92">
        <v>18.5</v>
      </c>
      <c r="AW26" s="92">
        <v>6.6</v>
      </c>
      <c r="AX26" s="92">
        <v>3.6</v>
      </c>
      <c r="AY26" s="92">
        <v>61.8</v>
      </c>
      <c r="AZ26" s="111">
        <v>1.258</v>
      </c>
      <c r="BA26" s="13">
        <v>2.9320609999999996</v>
      </c>
    </row>
    <row r="27" spans="1:40" ht="15.75">
      <c r="A27">
        <v>23</v>
      </c>
      <c r="B27" s="124">
        <v>23</v>
      </c>
      <c r="C27" s="125" t="s">
        <v>97</v>
      </c>
      <c r="D27" s="124" t="s">
        <v>99</v>
      </c>
      <c r="E27" s="124">
        <v>726</v>
      </c>
      <c r="F27" s="124">
        <v>20</v>
      </c>
      <c r="G27" s="124">
        <v>4094</v>
      </c>
      <c r="H27" s="126">
        <v>23.4</v>
      </c>
      <c r="I27" s="125">
        <v>52.6</v>
      </c>
      <c r="J27" s="113">
        <v>5223</v>
      </c>
      <c r="K27" s="114">
        <v>24.9</v>
      </c>
      <c r="L27" s="114">
        <v>8.3</v>
      </c>
      <c r="M27" s="114">
        <v>4.1</v>
      </c>
      <c r="N27" s="114">
        <v>59.2</v>
      </c>
      <c r="O27" s="115">
        <v>1.299</v>
      </c>
      <c r="P27" s="1"/>
      <c r="S27" s="105">
        <f t="shared" si="1"/>
        <v>726</v>
      </c>
      <c r="T27" s="105">
        <f t="shared" si="2"/>
        <v>4094</v>
      </c>
      <c r="U27" s="28"/>
      <c r="V27" s="15">
        <f>((T27/56)*(1-0.01176*(Y27-15)))/(S27*($U$2)/43560)</f>
        <v>197.6559805714286</v>
      </c>
      <c r="W27" s="15">
        <f>-(0.6*$U$25)-(0.4*$U$30)+($U$36)+V27</f>
        <v>201.80322217142856</v>
      </c>
      <c r="X27" s="16">
        <f>W27*($X$1-(0.05*(Y27-15)))</f>
        <v>803.1768242422858</v>
      </c>
      <c r="Y27" s="106">
        <f t="shared" si="13"/>
        <v>23.4</v>
      </c>
      <c r="Z27" s="15">
        <f t="shared" si="14"/>
        <v>52.6</v>
      </c>
      <c r="AA27" s="109">
        <f t="shared" si="15"/>
        <v>54.7</v>
      </c>
      <c r="AD27" t="str">
        <f t="shared" si="3"/>
        <v>Dekalb</v>
      </c>
      <c r="AE27" t="str">
        <f t="shared" si="4"/>
        <v>DKC62-08</v>
      </c>
      <c r="AF27">
        <f t="shared" si="5"/>
        <v>201.8</v>
      </c>
      <c r="AG27" s="93">
        <f t="shared" si="6"/>
        <v>803.18</v>
      </c>
      <c r="AH27" s="92">
        <f t="shared" si="7"/>
        <v>54.7</v>
      </c>
      <c r="AI27" s="92">
        <f t="shared" si="8"/>
        <v>23.4</v>
      </c>
      <c r="AJ27" s="92">
        <f t="shared" si="9"/>
        <v>8.3</v>
      </c>
      <c r="AK27" s="92">
        <f t="shared" si="10"/>
        <v>4.1</v>
      </c>
      <c r="AL27" s="92">
        <f t="shared" si="11"/>
        <v>59.2</v>
      </c>
      <c r="AM27" s="111">
        <v>1.299</v>
      </c>
      <c r="AN27" s="13">
        <f t="shared" si="12"/>
        <v>2.833761</v>
      </c>
    </row>
    <row r="28" spans="1:53" ht="15.75">
      <c r="A28">
        <v>24</v>
      </c>
      <c r="B28" s="124">
        <v>24</v>
      </c>
      <c r="C28" s="125" t="s">
        <v>100</v>
      </c>
      <c r="D28" s="124" t="s">
        <v>101</v>
      </c>
      <c r="E28" s="124">
        <v>726</v>
      </c>
      <c r="F28" s="124">
        <v>20</v>
      </c>
      <c r="G28" s="124">
        <v>4430</v>
      </c>
      <c r="H28" s="126">
        <v>23</v>
      </c>
      <c r="I28" s="125">
        <v>52.3</v>
      </c>
      <c r="J28" s="113">
        <v>5224</v>
      </c>
      <c r="K28" s="114">
        <v>24.1</v>
      </c>
      <c r="L28" s="114">
        <v>6.4</v>
      </c>
      <c r="M28" s="114">
        <v>3.8</v>
      </c>
      <c r="N28" s="114">
        <v>60.5</v>
      </c>
      <c r="O28" s="115">
        <v>1.25</v>
      </c>
      <c r="P28" s="1"/>
      <c r="S28" s="105">
        <f t="shared" si="1"/>
        <v>726</v>
      </c>
      <c r="T28" s="105">
        <f t="shared" si="2"/>
        <v>4430</v>
      </c>
      <c r="U28" s="29"/>
      <c r="V28" s="15">
        <f>((T28/56)*(1-0.01176*(Y28-15)))/(S28*($U$2)/43560)</f>
        <v>214.9942285714286</v>
      </c>
      <c r="W28" s="15">
        <f>-(0.4*$U$25)-(0.6*$U$30)+($U$36)+V28</f>
        <v>217.16475097142856</v>
      </c>
      <c r="X28" s="16">
        <f>W28*($X$1-(0.05*(Y28-15)))</f>
        <v>868.6590038857142</v>
      </c>
      <c r="Y28" s="106">
        <f t="shared" si="13"/>
        <v>23</v>
      </c>
      <c r="Z28" s="15">
        <f t="shared" si="14"/>
        <v>52.3</v>
      </c>
      <c r="AA28" s="109">
        <f t="shared" si="15"/>
        <v>54.3</v>
      </c>
      <c r="AD28" t="str">
        <f t="shared" si="3"/>
        <v>Renze</v>
      </c>
      <c r="AE28" t="str">
        <f t="shared" si="4"/>
        <v>3322RA</v>
      </c>
      <c r="AF28">
        <f t="shared" si="5"/>
        <v>217.2</v>
      </c>
      <c r="AG28" s="93">
        <f t="shared" si="6"/>
        <v>868.66</v>
      </c>
      <c r="AH28" s="92">
        <f t="shared" si="7"/>
        <v>54.3</v>
      </c>
      <c r="AI28" s="92">
        <f t="shared" si="8"/>
        <v>23</v>
      </c>
      <c r="AJ28" s="92">
        <f t="shared" si="9"/>
        <v>6.4</v>
      </c>
      <c r="AK28" s="92">
        <f t="shared" si="10"/>
        <v>3.8</v>
      </c>
      <c r="AL28" s="92">
        <f t="shared" si="11"/>
        <v>60.5</v>
      </c>
      <c r="AM28" s="111">
        <v>1.25</v>
      </c>
      <c r="AN28" s="13">
        <f t="shared" si="12"/>
        <v>2.9388909999999995</v>
      </c>
      <c r="AQ28" t="s">
        <v>73</v>
      </c>
      <c r="AR28" t="s">
        <v>74</v>
      </c>
      <c r="AS28">
        <v>0</v>
      </c>
      <c r="AT28" s="93">
        <v>944.74</v>
      </c>
      <c r="AU28" s="92">
        <v>57.8</v>
      </c>
      <c r="AV28" s="92">
        <v>20.1</v>
      </c>
      <c r="AW28" s="92">
        <v>6.6</v>
      </c>
      <c r="AX28" s="92">
        <v>4</v>
      </c>
      <c r="AY28" s="92">
        <v>60.7</v>
      </c>
      <c r="AZ28" s="111">
        <v>1.252</v>
      </c>
      <c r="BA28" s="13">
        <v>2.924603</v>
      </c>
    </row>
    <row r="29" spans="1:53" ht="15.75">
      <c r="A29">
        <v>25</v>
      </c>
      <c r="B29" s="124">
        <v>25</v>
      </c>
      <c r="C29" s="125" t="s">
        <v>100</v>
      </c>
      <c r="D29" s="124">
        <v>2293</v>
      </c>
      <c r="E29" s="124">
        <v>726</v>
      </c>
      <c r="F29" s="124">
        <v>20</v>
      </c>
      <c r="G29" s="124">
        <v>4288</v>
      </c>
      <c r="H29" s="126">
        <v>22.8</v>
      </c>
      <c r="I29" s="125">
        <v>52</v>
      </c>
      <c r="J29" s="113">
        <v>5225</v>
      </c>
      <c r="K29" s="114">
        <v>23.3</v>
      </c>
      <c r="L29" s="114">
        <v>6.4</v>
      </c>
      <c r="M29" s="114">
        <v>3.6</v>
      </c>
      <c r="N29" s="114">
        <v>61.3</v>
      </c>
      <c r="O29" s="115">
        <v>1.223</v>
      </c>
      <c r="P29" s="1"/>
      <c r="S29" s="105">
        <f t="shared" si="1"/>
        <v>726</v>
      </c>
      <c r="T29" s="105">
        <f t="shared" si="2"/>
        <v>4288</v>
      </c>
      <c r="U29" s="28"/>
      <c r="V29" s="15">
        <f>((T29/56)*(1-0.01176*(Y29-15)))/(S29*($U$2)/43560)</f>
        <v>208.64305371428568</v>
      </c>
      <c r="W29" s="15">
        <f>-(0.2*$U$25)-(0.8*$U$30)+($U$36)+V29</f>
        <v>208.83685691428562</v>
      </c>
      <c r="X29" s="16">
        <f>W29*($X$1-(0.05*(Y29-15)))</f>
        <v>837.4357962262854</v>
      </c>
      <c r="Y29" s="106">
        <f t="shared" si="13"/>
        <v>22.8</v>
      </c>
      <c r="Z29" s="15">
        <f t="shared" si="14"/>
        <v>52</v>
      </c>
      <c r="AA29" s="109">
        <f t="shared" si="15"/>
        <v>53.95</v>
      </c>
      <c r="AD29" t="str">
        <f t="shared" si="3"/>
        <v>Renze</v>
      </c>
      <c r="AE29">
        <f t="shared" si="4"/>
        <v>2293</v>
      </c>
      <c r="AF29">
        <f t="shared" si="5"/>
        <v>208.8</v>
      </c>
      <c r="AG29" s="93">
        <f t="shared" si="6"/>
        <v>837.44</v>
      </c>
      <c r="AH29" s="92">
        <f t="shared" si="7"/>
        <v>54</v>
      </c>
      <c r="AI29" s="92">
        <f t="shared" si="8"/>
        <v>22.8</v>
      </c>
      <c r="AJ29" s="92">
        <f t="shared" si="9"/>
        <v>6.4</v>
      </c>
      <c r="AK29" s="92">
        <f t="shared" si="10"/>
        <v>3.6</v>
      </c>
      <c r="AL29" s="92">
        <f t="shared" si="11"/>
        <v>61.3</v>
      </c>
      <c r="AM29" s="111">
        <v>1.223</v>
      </c>
      <c r="AN29" s="13">
        <f t="shared" si="12"/>
        <v>2.9387499999999998</v>
      </c>
      <c r="AQ29" t="s">
        <v>73</v>
      </c>
      <c r="AR29" t="s">
        <v>74</v>
      </c>
      <c r="AS29">
        <v>0</v>
      </c>
      <c r="AT29" s="93">
        <v>925.74</v>
      </c>
      <c r="AU29" s="92">
        <v>56.1</v>
      </c>
      <c r="AV29" s="92">
        <v>20.6</v>
      </c>
      <c r="AW29" s="92">
        <v>6.6</v>
      </c>
      <c r="AX29" s="92">
        <v>3.7</v>
      </c>
      <c r="AY29" s="92">
        <v>61.4</v>
      </c>
      <c r="AZ29" s="111">
        <v>1.254</v>
      </c>
      <c r="BA29" s="13">
        <v>2.929874</v>
      </c>
    </row>
    <row r="30" spans="1:53" ht="15.75">
      <c r="A30">
        <v>26</v>
      </c>
      <c r="B30" s="124">
        <v>26</v>
      </c>
      <c r="C30" s="125" t="s">
        <v>73</v>
      </c>
      <c r="D30" s="124" t="s">
        <v>74</v>
      </c>
      <c r="E30" s="124">
        <v>726</v>
      </c>
      <c r="F30" s="124">
        <v>20</v>
      </c>
      <c r="G30" s="124">
        <v>4490</v>
      </c>
      <c r="H30" s="126">
        <v>22</v>
      </c>
      <c r="I30" s="125">
        <v>54.2</v>
      </c>
      <c r="J30" s="113">
        <v>5226</v>
      </c>
      <c r="K30" s="114">
        <v>22.6</v>
      </c>
      <c r="L30" s="114">
        <v>6.4</v>
      </c>
      <c r="M30" s="114">
        <v>3.9</v>
      </c>
      <c r="N30" s="114">
        <v>60.9</v>
      </c>
      <c r="O30" s="115">
        <v>1.244</v>
      </c>
      <c r="P30" s="1"/>
      <c r="S30" s="105">
        <f t="shared" si="1"/>
        <v>726</v>
      </c>
      <c r="T30" s="105">
        <f t="shared" si="2"/>
        <v>4490</v>
      </c>
      <c r="U30" s="13">
        <f>((T30/56)*(1-0.01176*(Y30-15)))/(S30*($U$2)/43560)</f>
        <v>220.73481428571432</v>
      </c>
      <c r="V30" s="28"/>
      <c r="W30" s="29"/>
      <c r="X30" s="30">
        <f>U30*($X$1-(0.05*(Y30-15)))</f>
        <v>893.9759978571432</v>
      </c>
      <c r="Y30" s="106">
        <f t="shared" si="13"/>
        <v>22</v>
      </c>
      <c r="Z30" s="15">
        <f t="shared" si="14"/>
        <v>54.2</v>
      </c>
      <c r="AA30" s="109">
        <f t="shared" si="15"/>
        <v>55.95</v>
      </c>
      <c r="AD30" t="str">
        <f t="shared" si="3"/>
        <v>Channel</v>
      </c>
      <c r="AE30" t="str">
        <f t="shared" si="4"/>
        <v>210-95STX</v>
      </c>
      <c r="AF30">
        <f t="shared" si="5"/>
        <v>0</v>
      </c>
      <c r="AG30" s="93">
        <f t="shared" si="6"/>
        <v>893.98</v>
      </c>
      <c r="AH30" s="92">
        <f t="shared" si="7"/>
        <v>56</v>
      </c>
      <c r="AI30" s="92">
        <f t="shared" si="8"/>
        <v>22</v>
      </c>
      <c r="AJ30" s="92">
        <f t="shared" si="9"/>
        <v>6.4</v>
      </c>
      <c r="AK30" s="92">
        <f t="shared" si="10"/>
        <v>3.9</v>
      </c>
      <c r="AL30" s="92">
        <f t="shared" si="11"/>
        <v>60.9</v>
      </c>
      <c r="AM30" s="111">
        <v>1.244</v>
      </c>
      <c r="AN30" s="13">
        <f t="shared" si="12"/>
        <v>2.9364459999999997</v>
      </c>
      <c r="AQ30" t="s">
        <v>73</v>
      </c>
      <c r="AR30" t="s">
        <v>74</v>
      </c>
      <c r="AS30">
        <v>0</v>
      </c>
      <c r="AT30" s="93">
        <v>884.6</v>
      </c>
      <c r="AU30" s="92">
        <v>56.8</v>
      </c>
      <c r="AV30" s="92">
        <v>21.1</v>
      </c>
      <c r="AW30" s="92">
        <v>6.7</v>
      </c>
      <c r="AX30" s="92">
        <v>3.6</v>
      </c>
      <c r="AY30" s="92">
        <v>61.7</v>
      </c>
      <c r="AZ30" s="111">
        <v>1.256</v>
      </c>
      <c r="BA30" s="13">
        <v>2.926201</v>
      </c>
    </row>
    <row r="31" spans="1:53" ht="15.75">
      <c r="A31">
        <v>27</v>
      </c>
      <c r="B31" s="124">
        <v>27</v>
      </c>
      <c r="C31" s="125" t="s">
        <v>102</v>
      </c>
      <c r="D31" s="124" t="s">
        <v>103</v>
      </c>
      <c r="E31" s="124">
        <v>726</v>
      </c>
      <c r="F31" s="124">
        <v>20</v>
      </c>
      <c r="G31" s="124">
        <v>4248</v>
      </c>
      <c r="H31" s="126">
        <v>23</v>
      </c>
      <c r="I31" s="125">
        <v>53.1</v>
      </c>
      <c r="J31" s="113">
        <v>5227</v>
      </c>
      <c r="K31" s="114">
        <v>22.9</v>
      </c>
      <c r="L31" s="114">
        <v>6.7</v>
      </c>
      <c r="M31" s="114">
        <v>3.7</v>
      </c>
      <c r="N31" s="114">
        <v>61.2</v>
      </c>
      <c r="O31" s="115">
        <v>1.261</v>
      </c>
      <c r="P31" s="1"/>
      <c r="S31" s="105">
        <f t="shared" si="1"/>
        <v>726</v>
      </c>
      <c r="T31" s="105">
        <f t="shared" si="2"/>
        <v>4248</v>
      </c>
      <c r="U31" s="28"/>
      <c r="V31" s="15">
        <f>((T31/56)*(1-0.01176*(Y31-15)))/(S31*($U$2)/43560)</f>
        <v>206.16150857142858</v>
      </c>
      <c r="W31" s="15">
        <f>-(0.67*$U$30)-(0.33*U33)+($U$36)+V31</f>
        <v>204.96695485142854</v>
      </c>
      <c r="X31" s="16">
        <f>W31*($X$1-(0.05*(Y31-15)))</f>
        <v>819.8678194057142</v>
      </c>
      <c r="Y31" s="106">
        <f t="shared" si="13"/>
        <v>23</v>
      </c>
      <c r="Z31" s="15">
        <f t="shared" si="14"/>
        <v>53.1</v>
      </c>
      <c r="AA31" s="109">
        <f t="shared" si="15"/>
        <v>55.1</v>
      </c>
      <c r="AD31" t="str">
        <f t="shared" si="3"/>
        <v>Agrigold</v>
      </c>
      <c r="AE31" t="str">
        <f t="shared" si="4"/>
        <v>A6533VT3P</v>
      </c>
      <c r="AF31">
        <f t="shared" si="5"/>
        <v>205</v>
      </c>
      <c r="AG31" s="93">
        <f t="shared" si="6"/>
        <v>819.87</v>
      </c>
      <c r="AH31" s="92">
        <f t="shared" si="7"/>
        <v>55.1</v>
      </c>
      <c r="AI31" s="92">
        <f t="shared" si="8"/>
        <v>23</v>
      </c>
      <c r="AJ31" s="92">
        <f t="shared" si="9"/>
        <v>6.7</v>
      </c>
      <c r="AK31" s="92">
        <f t="shared" si="10"/>
        <v>3.7</v>
      </c>
      <c r="AL31" s="92">
        <f t="shared" si="11"/>
        <v>61.2</v>
      </c>
      <c r="AM31" s="111">
        <v>1.261</v>
      </c>
      <c r="AN31" s="13">
        <f t="shared" si="12"/>
        <v>2.925175</v>
      </c>
      <c r="AQ31" t="s">
        <v>73</v>
      </c>
      <c r="AR31" t="s">
        <v>74</v>
      </c>
      <c r="AS31">
        <v>0</v>
      </c>
      <c r="AT31" s="93">
        <v>882.77</v>
      </c>
      <c r="AU31" s="92">
        <v>56.5</v>
      </c>
      <c r="AV31" s="92">
        <v>20.3</v>
      </c>
      <c r="AW31" s="92">
        <v>6.5</v>
      </c>
      <c r="AX31" s="92">
        <v>3.6</v>
      </c>
      <c r="AY31" s="92">
        <v>61.4</v>
      </c>
      <c r="AZ31" s="111">
        <v>1.231</v>
      </c>
      <c r="BA31" s="13">
        <v>2.93418</v>
      </c>
    </row>
    <row r="32" spans="1:53" ht="15.75">
      <c r="A32">
        <v>28</v>
      </c>
      <c r="B32" s="124">
        <v>28</v>
      </c>
      <c r="C32" s="125" t="s">
        <v>102</v>
      </c>
      <c r="D32" s="124" t="s">
        <v>104</v>
      </c>
      <c r="E32" s="124">
        <v>726</v>
      </c>
      <c r="F32" s="124">
        <v>20</v>
      </c>
      <c r="G32" s="124">
        <v>4005</v>
      </c>
      <c r="H32" s="126">
        <v>20.9</v>
      </c>
      <c r="I32" s="125">
        <v>54</v>
      </c>
      <c r="J32" s="113">
        <v>5228</v>
      </c>
      <c r="K32" s="114">
        <v>20.5</v>
      </c>
      <c r="L32" s="114">
        <v>6.4</v>
      </c>
      <c r="M32" s="114">
        <v>3.5</v>
      </c>
      <c r="N32" s="114">
        <v>61.5</v>
      </c>
      <c r="O32" s="115">
        <v>1.212</v>
      </c>
      <c r="P32" s="1"/>
      <c r="S32" s="105">
        <f t="shared" si="1"/>
        <v>726</v>
      </c>
      <c r="T32" s="105">
        <f t="shared" si="2"/>
        <v>4005</v>
      </c>
      <c r="U32" s="28"/>
      <c r="V32" s="15">
        <f>((T32/56)*(1-0.01176*(Y32-15)))/(S32*($U$2)/43560)</f>
        <v>199.66698642857145</v>
      </c>
      <c r="W32" s="15">
        <f>-(0.33*$U$30)-(0.67*U33)+($U$36)+V32</f>
        <v>199.0786241485714</v>
      </c>
      <c r="X32" s="16">
        <f>W32*($X$1-(0.05*(Y32-15)))</f>
        <v>817.2177521298858</v>
      </c>
      <c r="Y32" s="106">
        <f t="shared" si="13"/>
        <v>20.9</v>
      </c>
      <c r="Z32" s="15">
        <f t="shared" si="14"/>
        <v>54</v>
      </c>
      <c r="AA32" s="109">
        <f t="shared" si="15"/>
        <v>55.475</v>
      </c>
      <c r="AD32" t="str">
        <f t="shared" si="3"/>
        <v>Agrigold</v>
      </c>
      <c r="AE32" t="str">
        <f t="shared" si="4"/>
        <v>A6408VT3P</v>
      </c>
      <c r="AF32">
        <f t="shared" si="5"/>
        <v>199.1</v>
      </c>
      <c r="AG32" s="93">
        <f t="shared" si="6"/>
        <v>817.22</v>
      </c>
      <c r="AH32" s="92">
        <f t="shared" si="7"/>
        <v>55.5</v>
      </c>
      <c r="AI32" s="92">
        <f t="shared" si="8"/>
        <v>20.9</v>
      </c>
      <c r="AJ32" s="92">
        <f t="shared" si="9"/>
        <v>6.4</v>
      </c>
      <c r="AK32" s="92">
        <f t="shared" si="10"/>
        <v>3.5</v>
      </c>
      <c r="AL32" s="92">
        <f t="shared" si="11"/>
        <v>61.5</v>
      </c>
      <c r="AM32" s="111">
        <v>1.212</v>
      </c>
      <c r="AN32" s="13">
        <f t="shared" si="12"/>
        <v>2.9390019999999994</v>
      </c>
      <c r="AQ32" t="s">
        <v>73</v>
      </c>
      <c r="AR32" t="s">
        <v>74</v>
      </c>
      <c r="AS32">
        <v>0</v>
      </c>
      <c r="AT32" s="93">
        <v>866.6</v>
      </c>
      <c r="AU32" s="92">
        <v>56.4</v>
      </c>
      <c r="AV32" s="92">
        <v>20.8</v>
      </c>
      <c r="AW32" s="92">
        <v>6.5</v>
      </c>
      <c r="AX32" s="92">
        <v>3.6</v>
      </c>
      <c r="AY32" s="92">
        <v>61.7</v>
      </c>
      <c r="AZ32" s="111">
        <v>1.239</v>
      </c>
      <c r="BA32" s="13">
        <v>2.935212</v>
      </c>
    </row>
    <row r="33" spans="1:53" ht="15.75">
      <c r="A33">
        <v>29</v>
      </c>
      <c r="B33" s="110"/>
      <c r="C33" s="108"/>
      <c r="D33" s="110"/>
      <c r="E33" s="110"/>
      <c r="F33" s="110"/>
      <c r="G33" s="110"/>
      <c r="H33" s="112"/>
      <c r="I33" s="112"/>
      <c r="J33" s="113"/>
      <c r="K33" s="114"/>
      <c r="L33" s="114"/>
      <c r="M33" s="114"/>
      <c r="N33" s="114"/>
      <c r="O33" s="115"/>
      <c r="P33" s="1"/>
      <c r="S33" s="105"/>
      <c r="T33" s="105"/>
      <c r="U33" s="29">
        <f>AVERAGE(U5:U30)</f>
        <v>218.95189828571426</v>
      </c>
      <c r="V33" s="15"/>
      <c r="W33" s="15"/>
      <c r="X33" s="16"/>
      <c r="Y33" s="106"/>
      <c r="Z33" s="15"/>
      <c r="AA33" s="109"/>
      <c r="AD33">
        <f t="shared" si="3"/>
        <v>0</v>
      </c>
      <c r="AE33">
        <f t="shared" si="4"/>
        <v>0</v>
      </c>
      <c r="AF33">
        <f t="shared" si="5"/>
        <v>0</v>
      </c>
      <c r="AG33" s="93">
        <f t="shared" si="6"/>
        <v>0</v>
      </c>
      <c r="AH33">
        <f t="shared" si="7"/>
        <v>0</v>
      </c>
      <c r="AI33" s="92">
        <f t="shared" si="8"/>
        <v>0</v>
      </c>
      <c r="AJ33" s="92">
        <f t="shared" si="9"/>
        <v>0</v>
      </c>
      <c r="AK33" s="92">
        <f t="shared" si="10"/>
        <v>0</v>
      </c>
      <c r="AL33" s="92">
        <f t="shared" si="11"/>
        <v>0</v>
      </c>
      <c r="AM33" s="111">
        <f>ROUND(O33,2)</f>
        <v>0</v>
      </c>
      <c r="AN33" s="13">
        <f t="shared" si="12"/>
        <v>3.199667</v>
      </c>
      <c r="AQ33" t="s">
        <v>73</v>
      </c>
      <c r="AR33" t="s">
        <v>74</v>
      </c>
      <c r="AS33">
        <v>0</v>
      </c>
      <c r="AT33" s="93">
        <v>893.98</v>
      </c>
      <c r="AU33" s="92">
        <v>56</v>
      </c>
      <c r="AV33" s="92">
        <v>22</v>
      </c>
      <c r="AW33" s="92">
        <v>6.4</v>
      </c>
      <c r="AX33" s="92">
        <v>3.9</v>
      </c>
      <c r="AY33" s="92">
        <v>60.9</v>
      </c>
      <c r="AZ33" s="111">
        <v>1.244</v>
      </c>
      <c r="BA33" s="13">
        <v>2.9364459999999997</v>
      </c>
    </row>
    <row r="34" spans="1:53" ht="15.75">
      <c r="A34">
        <v>30</v>
      </c>
      <c r="B34" s="110"/>
      <c r="C34" s="108"/>
      <c r="D34" s="110"/>
      <c r="E34" s="110"/>
      <c r="F34" s="110"/>
      <c r="G34" s="110"/>
      <c r="H34" s="112"/>
      <c r="I34" s="112"/>
      <c r="J34" s="113"/>
      <c r="K34" s="114"/>
      <c r="L34" s="114"/>
      <c r="M34" s="114"/>
      <c r="N34" s="114"/>
      <c r="O34" s="115"/>
      <c r="P34" s="1"/>
      <c r="S34" s="105"/>
      <c r="T34" s="105"/>
      <c r="U34" s="28"/>
      <c r="V34" s="15"/>
      <c r="W34" s="15"/>
      <c r="X34" s="16"/>
      <c r="Y34" s="106"/>
      <c r="Z34" s="15"/>
      <c r="AA34" s="109"/>
      <c r="AD34">
        <f t="shared" si="3"/>
        <v>0</v>
      </c>
      <c r="AE34">
        <f t="shared" si="4"/>
        <v>0</v>
      </c>
      <c r="AF34">
        <f t="shared" si="5"/>
        <v>0</v>
      </c>
      <c r="AG34" s="93">
        <f t="shared" si="6"/>
        <v>0</v>
      </c>
      <c r="AH34">
        <f t="shared" si="7"/>
        <v>0</v>
      </c>
      <c r="AI34" s="92">
        <f t="shared" si="8"/>
        <v>0</v>
      </c>
      <c r="AJ34" s="92">
        <f t="shared" si="9"/>
        <v>0</v>
      </c>
      <c r="AK34" s="92">
        <f t="shared" si="10"/>
        <v>0</v>
      </c>
      <c r="AL34" s="92">
        <f t="shared" si="11"/>
        <v>0</v>
      </c>
      <c r="AM34" s="111">
        <f>ROUND(O34,2)</f>
        <v>0</v>
      </c>
      <c r="AN34" s="13">
        <f t="shared" si="12"/>
        <v>3.199667</v>
      </c>
      <c r="AQ34" t="s">
        <v>73</v>
      </c>
      <c r="AR34" t="s">
        <v>74</v>
      </c>
      <c r="AS34">
        <v>0</v>
      </c>
      <c r="AT34" s="93">
        <v>866.6</v>
      </c>
      <c r="AU34" s="92">
        <v>56.4</v>
      </c>
      <c r="AV34" s="92">
        <v>20.8</v>
      </c>
      <c r="AW34" s="92">
        <v>6.5</v>
      </c>
      <c r="AX34" s="92">
        <v>3.6</v>
      </c>
      <c r="AY34" s="92">
        <v>61.7</v>
      </c>
      <c r="AZ34" s="111">
        <v>1.24</v>
      </c>
      <c r="BA34" s="13">
        <v>2.9353409999999998</v>
      </c>
    </row>
    <row r="35" spans="16:39" ht="7.5" customHeight="1">
      <c r="P35" s="21"/>
      <c r="Q35" s="21"/>
      <c r="S35" s="24"/>
      <c r="T35" s="24"/>
      <c r="U35" s="25"/>
      <c r="V35" s="21"/>
      <c r="W35" s="21"/>
      <c r="X35" s="26"/>
      <c r="Y35" s="27"/>
      <c r="Z35" s="24"/>
      <c r="AA35" s="24"/>
      <c r="AG35" s="93"/>
      <c r="AM35" s="13"/>
    </row>
    <row r="36" spans="19:39" ht="15">
      <c r="S36" s="94" t="s">
        <v>1</v>
      </c>
      <c r="T36" s="94"/>
      <c r="U36" s="17">
        <f>AVERAGE(U5:U32)</f>
        <v>218.95189828571426</v>
      </c>
      <c r="V36" s="17">
        <f aca="true" t="shared" si="16" ref="V36:AA36">AVERAGE(V5:V32)</f>
        <v>205.7017270909091</v>
      </c>
      <c r="W36" s="17">
        <f t="shared" si="16"/>
        <v>206.59825503896099</v>
      </c>
      <c r="X36" s="17">
        <f t="shared" si="16"/>
        <v>860.7330755358886</v>
      </c>
      <c r="Y36" s="17">
        <f t="shared" si="16"/>
        <v>20.721428571428568</v>
      </c>
      <c r="Z36" s="17">
        <f t="shared" si="16"/>
        <v>54.41428571428571</v>
      </c>
      <c r="AA36" s="17">
        <f t="shared" si="16"/>
        <v>55.84464285714285</v>
      </c>
      <c r="AG36" s="93"/>
      <c r="AM36" s="13"/>
    </row>
    <row r="37" spans="19:39" ht="15">
      <c r="S37" s="94" t="s">
        <v>2</v>
      </c>
      <c r="T37" s="94"/>
      <c r="U37" s="17">
        <f>STDEV(U5:U32)</f>
        <v>6.643802641941266</v>
      </c>
      <c r="V37" s="17">
        <f aca="true" t="shared" si="17" ref="V37:AA37">STDEV(V5:V32)</f>
        <v>7.508756274231287</v>
      </c>
      <c r="W37" s="17">
        <f t="shared" si="17"/>
        <v>9.329365960214188</v>
      </c>
      <c r="X37" s="17">
        <f t="shared" si="17"/>
        <v>41.940533357459394</v>
      </c>
      <c r="Y37" s="17">
        <f t="shared" si="17"/>
        <v>1.2347910733030891</v>
      </c>
      <c r="Z37" s="17">
        <f t="shared" si="17"/>
        <v>1.357479768818424</v>
      </c>
      <c r="AA37" s="17">
        <f t="shared" si="17"/>
        <v>1.2065092964994846</v>
      </c>
      <c r="AG37" s="93"/>
      <c r="AM37" s="13"/>
    </row>
    <row r="38" spans="19:39" ht="15">
      <c r="S38" s="94" t="s">
        <v>3</v>
      </c>
      <c r="T38" s="94"/>
      <c r="U38" s="17">
        <f>MAX(U5:U32)</f>
        <v>227.9222477142857</v>
      </c>
      <c r="V38" s="17">
        <f aca="true" t="shared" si="18" ref="V38:AA38">MAX(V5:V32)</f>
        <v>222.1928228571429</v>
      </c>
      <c r="W38" s="17">
        <f t="shared" si="18"/>
        <v>228.31678365714285</v>
      </c>
      <c r="X38" s="17">
        <f t="shared" si="18"/>
        <v>944.7377167757144</v>
      </c>
      <c r="Y38" s="17">
        <f t="shared" si="18"/>
        <v>23.4</v>
      </c>
      <c r="Z38" s="17">
        <f t="shared" si="18"/>
        <v>56.8</v>
      </c>
      <c r="AA38" s="17">
        <f t="shared" si="18"/>
        <v>58.125</v>
      </c>
      <c r="AG38" s="93"/>
      <c r="AM38" s="13"/>
    </row>
    <row r="39" spans="19:39" ht="15">
      <c r="S39" s="94" t="s">
        <v>4</v>
      </c>
      <c r="T39" s="94"/>
      <c r="U39" s="17">
        <f>MIN(U5:U32)</f>
        <v>210.85121828571428</v>
      </c>
      <c r="V39" s="17">
        <f aca="true" t="shared" si="19" ref="V39:AA39">MIN(V5:V32)</f>
        <v>191.1267985714286</v>
      </c>
      <c r="W39" s="17">
        <f t="shared" si="19"/>
        <v>192.29679902857143</v>
      </c>
      <c r="X39" s="17">
        <f t="shared" si="19"/>
        <v>803.1768242422858</v>
      </c>
      <c r="Y39" s="17">
        <f t="shared" si="19"/>
        <v>18.5</v>
      </c>
      <c r="Z39" s="17">
        <f t="shared" si="19"/>
        <v>52</v>
      </c>
      <c r="AA39" s="17">
        <f t="shared" si="19"/>
        <v>53.7</v>
      </c>
      <c r="AG39" s="93"/>
      <c r="AM39" s="13"/>
    </row>
    <row r="40" spans="22:39" ht="12.75">
      <c r="V40" s="14"/>
      <c r="W40" s="14"/>
      <c r="X40" s="14"/>
      <c r="Y40" s="14"/>
      <c r="Z40" s="14"/>
      <c r="AA40" s="14"/>
      <c r="AG40" s="93"/>
      <c r="AM40" s="13"/>
    </row>
    <row r="41" spans="26:39" ht="12.75">
      <c r="Z41" s="14"/>
      <c r="AA41" s="14"/>
      <c r="AG41" s="93"/>
      <c r="AM41" s="13"/>
    </row>
    <row r="42" spans="3:39" ht="25.5">
      <c r="C42" t="s">
        <v>7</v>
      </c>
      <c r="D42" t="s">
        <v>8</v>
      </c>
      <c r="H42" s="20" t="s">
        <v>43</v>
      </c>
      <c r="L42" t="s">
        <v>47</v>
      </c>
      <c r="M42" t="s">
        <v>48</v>
      </c>
      <c r="N42" t="s">
        <v>49</v>
      </c>
      <c r="O42" t="s">
        <v>50</v>
      </c>
      <c r="U42" t="s">
        <v>62</v>
      </c>
      <c r="X42" t="s">
        <v>59</v>
      </c>
      <c r="Z42" s="14"/>
      <c r="AA42" s="91" t="s">
        <v>63</v>
      </c>
      <c r="AF42" s="92"/>
      <c r="AG42" s="93"/>
      <c r="AH42" s="92"/>
      <c r="AI42" s="92"/>
      <c r="AJ42" s="92"/>
      <c r="AK42" s="92"/>
      <c r="AL42" s="92"/>
      <c r="AM42" s="13"/>
    </row>
    <row r="43" spans="3:40" ht="12.75">
      <c r="C43" s="108" t="str">
        <f>C5</f>
        <v>Channel</v>
      </c>
      <c r="D43" s="108" t="str">
        <f>D5</f>
        <v>210-95STX</v>
      </c>
      <c r="E43" s="92"/>
      <c r="F43" s="92"/>
      <c r="G43" s="92"/>
      <c r="H43" s="92">
        <f>AVERAGE(H5,H10,H15,H20,H25,H30)</f>
        <v>20.816666666666666</v>
      </c>
      <c r="I43" s="92"/>
      <c r="J43" s="92"/>
      <c r="K43" s="92"/>
      <c r="L43" s="92">
        <f>AVERAGE(L5,L10,L15,L20,L25,L30)</f>
        <v>6.55</v>
      </c>
      <c r="M43" s="92">
        <f>AVERAGE(M5,M10,M15,M20,M25,M30)</f>
        <v>3.733333333333333</v>
      </c>
      <c r="N43" s="92">
        <f>AVERAGE(N5,N10,N15,N20,N25,N30)</f>
        <v>61.300000000000004</v>
      </c>
      <c r="O43" s="111">
        <f>AVERAGE(O5,O10,O15,O20,O25,O30)</f>
        <v>1.246</v>
      </c>
      <c r="U43" s="92">
        <f>AVERAGE(U5,U10,U15,U20,U25,U30)</f>
        <v>218.95189828571426</v>
      </c>
      <c r="V43" s="92"/>
      <c r="W43" s="92"/>
      <c r="X43" s="92">
        <f>AVERAGE(X5,X10,X15,X20,X25,X30)</f>
        <v>899.7384737685716</v>
      </c>
      <c r="Y43" s="92"/>
      <c r="Z43" s="92"/>
      <c r="AA43" s="92">
        <f>AVERAGE(AA5,AA10,AA15,AA20,AA25,AA30)</f>
        <v>56.5875</v>
      </c>
      <c r="AD43" t="str">
        <f>C43</f>
        <v>Channel</v>
      </c>
      <c r="AE43" t="str">
        <f>D43</f>
        <v>210-95STX</v>
      </c>
      <c r="AF43" s="92">
        <f>ROUND(U43,1)</f>
        <v>219</v>
      </c>
      <c r="AG43" s="93">
        <f>ROUND(X43,2)</f>
        <v>899.74</v>
      </c>
      <c r="AH43" s="92">
        <f>ROUND(AA43,1)</f>
        <v>56.6</v>
      </c>
      <c r="AI43" s="92">
        <f>ROUND(H43,1)</f>
        <v>20.8</v>
      </c>
      <c r="AJ43" s="92">
        <f>ROUND(L43,1)</f>
        <v>6.6</v>
      </c>
      <c r="AK43" s="92">
        <f>ROUND(M43,1)</f>
        <v>3.7</v>
      </c>
      <c r="AL43" s="92">
        <f>ROUND(N43,1)</f>
        <v>61.3</v>
      </c>
      <c r="AM43" s="13">
        <f>ROUND(O43,2)</f>
        <v>1.25</v>
      </c>
      <c r="AN43" s="13">
        <f>$AJ$2+($AK$2*$AJ43)+($AL$2*$AK43)+($AM$2*$AL43)+($AN$2*$AM43)</f>
        <v>2.9293579999999997</v>
      </c>
    </row>
    <row r="44" spans="26:27" ht="12.75">
      <c r="Z44" s="14"/>
      <c r="AA44" s="14"/>
    </row>
    <row r="45" spans="26:27" ht="12.75">
      <c r="Z45" s="14"/>
      <c r="AA45" s="14"/>
    </row>
    <row r="64" spans="21:23" ht="12.75">
      <c r="U64">
        <v>353</v>
      </c>
      <c r="V64">
        <v>454</v>
      </c>
      <c r="W64" s="111">
        <f>(U64*64)/V64</f>
        <v>49.76211453744494</v>
      </c>
    </row>
    <row r="66" ht="12.75">
      <c r="W66">
        <f>(U64/V64)*64</f>
        <v>49.76211453744494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97" zoomScaleNormal="97" zoomScalePageLayoutView="0" workbookViewId="0" topLeftCell="A1">
      <selection activeCell="Q33" sqref="Q33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1"/>
      <c r="B1" s="32"/>
      <c r="C1" s="146" t="s">
        <v>72</v>
      </c>
      <c r="D1" s="147"/>
      <c r="E1" s="147"/>
      <c r="F1" s="147"/>
      <c r="G1" s="134"/>
      <c r="H1" s="134"/>
      <c r="I1" s="134"/>
      <c r="J1" s="134"/>
      <c r="K1" s="134"/>
      <c r="L1" s="135"/>
    </row>
    <row r="2" spans="1:12" ht="16.5" customHeight="1">
      <c r="A2" s="33"/>
      <c r="B2" s="34"/>
      <c r="C2" s="144" t="s">
        <v>5</v>
      </c>
      <c r="D2" s="145"/>
      <c r="E2" s="145"/>
      <c r="F2" s="145"/>
      <c r="G2" s="136"/>
      <c r="H2" s="136"/>
      <c r="I2" s="136"/>
      <c r="J2" s="136"/>
      <c r="K2" s="136"/>
      <c r="L2" s="137"/>
    </row>
    <row r="3" spans="1:12" ht="21.75" customHeight="1">
      <c r="A3" s="33"/>
      <c r="B3" s="34"/>
      <c r="C3" s="35" t="s">
        <v>6</v>
      </c>
      <c r="D3" s="138" t="s">
        <v>105</v>
      </c>
      <c r="E3" s="138"/>
      <c r="F3" s="138"/>
      <c r="G3" s="138"/>
      <c r="H3" s="138"/>
      <c r="I3" s="138"/>
      <c r="J3" s="138"/>
      <c r="K3" s="138"/>
      <c r="L3" s="139"/>
    </row>
    <row r="4" spans="1:12" ht="21.75" customHeight="1">
      <c r="A4" s="33"/>
      <c r="B4" s="34"/>
      <c r="C4" s="142" t="s">
        <v>16</v>
      </c>
      <c r="D4" s="143"/>
      <c r="E4" s="143"/>
      <c r="F4" s="143"/>
      <c r="G4" s="136"/>
      <c r="H4" s="136"/>
      <c r="I4" s="136"/>
      <c r="J4" s="136"/>
      <c r="K4" s="136"/>
      <c r="L4" s="137"/>
    </row>
    <row r="5" spans="1:12" ht="8.25" customHeight="1" thickBot="1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  <c r="L5" s="37"/>
    </row>
    <row r="6" spans="1:12" ht="23.25" customHeight="1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48" customHeight="1" thickBot="1">
      <c r="A7" s="42" t="s">
        <v>7</v>
      </c>
      <c r="B7" s="43" t="s">
        <v>8</v>
      </c>
      <c r="C7" s="44" t="s">
        <v>24</v>
      </c>
      <c r="D7" s="44" t="s">
        <v>25</v>
      </c>
      <c r="E7" s="44" t="s">
        <v>26</v>
      </c>
      <c r="F7" s="44" t="s">
        <v>27</v>
      </c>
      <c r="G7" s="44" t="s">
        <v>9</v>
      </c>
      <c r="H7" s="44" t="s">
        <v>10</v>
      </c>
      <c r="I7" s="45" t="s">
        <v>11</v>
      </c>
      <c r="J7" s="44" t="s">
        <v>12</v>
      </c>
      <c r="K7" s="45" t="s">
        <v>64</v>
      </c>
      <c r="L7" s="46" t="s">
        <v>28</v>
      </c>
    </row>
    <row r="8" spans="1:12" ht="20.25" customHeight="1" thickBot="1" thickTop="1">
      <c r="A8" s="47"/>
      <c r="B8" s="48"/>
      <c r="C8" s="48"/>
      <c r="D8" s="49"/>
      <c r="E8" s="140" t="s">
        <v>13</v>
      </c>
      <c r="F8" s="141"/>
      <c r="G8" s="50">
        <v>8</v>
      </c>
      <c r="H8" s="50">
        <v>3.6</v>
      </c>
      <c r="I8" s="50">
        <v>60</v>
      </c>
      <c r="J8" s="101">
        <v>1.27</v>
      </c>
      <c r="K8" s="100"/>
      <c r="L8" s="51"/>
    </row>
    <row r="9" spans="1:16" ht="14.25">
      <c r="A9" s="95" t="s">
        <v>97</v>
      </c>
      <c r="B9" s="95" t="s">
        <v>98</v>
      </c>
      <c r="C9" s="127">
        <v>228.3</v>
      </c>
      <c r="D9" s="128">
        <v>940.67</v>
      </c>
      <c r="E9" s="127">
        <v>55.8</v>
      </c>
      <c r="F9" s="127">
        <v>20.6</v>
      </c>
      <c r="G9" s="127">
        <v>5.9</v>
      </c>
      <c r="H9" s="127">
        <v>3.6</v>
      </c>
      <c r="I9" s="127">
        <v>61.3</v>
      </c>
      <c r="J9" s="107">
        <v>1.23</v>
      </c>
      <c r="K9" s="129">
        <v>2.9676629999999995</v>
      </c>
      <c r="L9" s="80">
        <f aca="true" t="shared" si="0" ref="L9:L30">ROUND($J$40+($J$41*(H9-$H$8)*(56/100))+(($N$40-((O9*$J$40/56)+((2000-O9)*($J$43/2000))))*(56/O9)),2)</f>
        <v>3.93</v>
      </c>
      <c r="O9" s="52">
        <f aca="true" t="shared" si="1" ref="O9:O30">(2000)*((0.01*$N$43)-0.48)/((0.01*G9)-0.48)</f>
        <v>1520.190023752969</v>
      </c>
      <c r="P9" s="52"/>
    </row>
    <row r="10" spans="1:16" ht="14.25">
      <c r="A10" s="95" t="s">
        <v>88</v>
      </c>
      <c r="B10" s="95" t="s">
        <v>89</v>
      </c>
      <c r="C10" s="127">
        <v>219.8</v>
      </c>
      <c r="D10" s="128">
        <v>915.46</v>
      </c>
      <c r="E10" s="127">
        <v>54.7</v>
      </c>
      <c r="F10" s="127">
        <v>19.7</v>
      </c>
      <c r="G10" s="127">
        <v>6.8</v>
      </c>
      <c r="H10" s="127">
        <v>3.4</v>
      </c>
      <c r="I10" s="127">
        <v>61.7</v>
      </c>
      <c r="J10" s="107">
        <v>1.24</v>
      </c>
      <c r="K10" s="130">
        <v>2.9218769999999994</v>
      </c>
      <c r="L10" s="81">
        <f t="shared" si="0"/>
        <v>4.08</v>
      </c>
      <c r="O10" s="52">
        <f t="shared" si="1"/>
        <v>1553.398058252427</v>
      </c>
      <c r="P10" s="52"/>
    </row>
    <row r="11" spans="1:16" ht="14.25">
      <c r="A11" s="95" t="s">
        <v>69</v>
      </c>
      <c r="B11" s="95" t="s">
        <v>86</v>
      </c>
      <c r="C11" s="127">
        <v>218.8</v>
      </c>
      <c r="D11" s="128">
        <v>910.08</v>
      </c>
      <c r="E11" s="127">
        <v>56.9</v>
      </c>
      <c r="F11" s="127">
        <v>19.8</v>
      </c>
      <c r="G11" s="127">
        <v>6.5</v>
      </c>
      <c r="H11" s="127">
        <v>3.1</v>
      </c>
      <c r="I11" s="127">
        <v>62.6</v>
      </c>
      <c r="J11" s="107">
        <v>1.251</v>
      </c>
      <c r="K11" s="130">
        <v>2.9449859999999997</v>
      </c>
      <c r="L11" s="81">
        <f t="shared" si="0"/>
        <v>3.95</v>
      </c>
      <c r="O11" s="52">
        <f t="shared" si="1"/>
        <v>1542.168674698795</v>
      </c>
      <c r="P11" s="52"/>
    </row>
    <row r="12" spans="1:16" ht="14.25">
      <c r="A12" s="95" t="s">
        <v>91</v>
      </c>
      <c r="B12" s="95" t="s">
        <v>93</v>
      </c>
      <c r="C12" s="127">
        <v>217.6</v>
      </c>
      <c r="D12" s="128">
        <v>906.15</v>
      </c>
      <c r="E12" s="127">
        <v>57.2</v>
      </c>
      <c r="F12" s="127">
        <v>19.7</v>
      </c>
      <c r="G12" s="127">
        <v>7</v>
      </c>
      <c r="H12" s="127">
        <v>3.5</v>
      </c>
      <c r="I12" s="127">
        <v>61.7</v>
      </c>
      <c r="J12" s="107">
        <v>1.261</v>
      </c>
      <c r="K12" s="130">
        <v>2.9115819999999997</v>
      </c>
      <c r="L12" s="81">
        <f t="shared" si="0"/>
        <v>4.15</v>
      </c>
      <c r="O12" s="52">
        <f t="shared" si="1"/>
        <v>1560.9756097560974</v>
      </c>
      <c r="P12" s="52"/>
    </row>
    <row r="13" spans="1:16" ht="14.25">
      <c r="A13" s="95" t="s">
        <v>94</v>
      </c>
      <c r="B13" s="95" t="s">
        <v>95</v>
      </c>
      <c r="C13" s="127">
        <v>217.6</v>
      </c>
      <c r="D13" s="128">
        <v>894.33</v>
      </c>
      <c r="E13" s="127">
        <v>56.7</v>
      </c>
      <c r="F13" s="127">
        <v>20.8</v>
      </c>
      <c r="G13" s="127">
        <v>6.3</v>
      </c>
      <c r="H13" s="127">
        <v>3.5</v>
      </c>
      <c r="I13" s="127">
        <v>62.1</v>
      </c>
      <c r="J13" s="107">
        <v>1.259</v>
      </c>
      <c r="K13" s="130">
        <v>2.9507959999999995</v>
      </c>
      <c r="L13" s="81">
        <f t="shared" si="0"/>
        <v>3.99</v>
      </c>
      <c r="O13" s="52">
        <f t="shared" si="1"/>
        <v>1534.7721822541964</v>
      </c>
      <c r="P13" s="52"/>
    </row>
    <row r="14" spans="1:16" ht="14.25">
      <c r="A14" s="95" t="s">
        <v>100</v>
      </c>
      <c r="B14" s="95" t="s">
        <v>101</v>
      </c>
      <c r="C14" s="127">
        <v>217.2</v>
      </c>
      <c r="D14" s="128">
        <v>868.66</v>
      </c>
      <c r="E14" s="127">
        <v>54.3</v>
      </c>
      <c r="F14" s="127">
        <v>23</v>
      </c>
      <c r="G14" s="127">
        <v>6.4</v>
      </c>
      <c r="H14" s="127">
        <v>3.8</v>
      </c>
      <c r="I14" s="127">
        <v>60.5</v>
      </c>
      <c r="J14" s="107">
        <v>1.25</v>
      </c>
      <c r="K14" s="130">
        <v>2.9388909999999995</v>
      </c>
      <c r="L14" s="81">
        <f t="shared" si="0"/>
        <v>4.09</v>
      </c>
      <c r="O14" s="52">
        <f t="shared" si="1"/>
        <v>1538.4615384615383</v>
      </c>
      <c r="P14" s="52"/>
    </row>
    <row r="15" spans="1:16" ht="14.25">
      <c r="A15" s="95" t="s">
        <v>100</v>
      </c>
      <c r="B15" s="116">
        <v>2293</v>
      </c>
      <c r="C15" s="127">
        <v>208.8</v>
      </c>
      <c r="D15" s="128">
        <v>837.44</v>
      </c>
      <c r="E15" s="127">
        <v>54</v>
      </c>
      <c r="F15" s="127">
        <v>22.8</v>
      </c>
      <c r="G15" s="127">
        <v>6.4</v>
      </c>
      <c r="H15" s="127">
        <v>3.6</v>
      </c>
      <c r="I15" s="127">
        <v>61.3</v>
      </c>
      <c r="J15" s="107">
        <v>1.223</v>
      </c>
      <c r="K15" s="130">
        <v>2.9383629999999994</v>
      </c>
      <c r="L15" s="81">
        <f t="shared" si="0"/>
        <v>4.04</v>
      </c>
      <c r="O15" s="52">
        <f t="shared" si="1"/>
        <v>1538.4615384615383</v>
      </c>
      <c r="P15" s="52"/>
    </row>
    <row r="16" spans="1:16" ht="14.25">
      <c r="A16" s="95" t="s">
        <v>94</v>
      </c>
      <c r="B16" s="95" t="s">
        <v>96</v>
      </c>
      <c r="C16" s="127">
        <v>206.2</v>
      </c>
      <c r="D16" s="128">
        <v>857.89</v>
      </c>
      <c r="E16" s="127">
        <v>56.5</v>
      </c>
      <c r="F16" s="127">
        <v>19.8</v>
      </c>
      <c r="G16" s="127">
        <v>6.7</v>
      </c>
      <c r="H16" s="127">
        <v>3.3</v>
      </c>
      <c r="I16" s="127">
        <v>62</v>
      </c>
      <c r="J16" s="107">
        <v>1.25</v>
      </c>
      <c r="K16" s="130">
        <v>2.9304399999999995</v>
      </c>
      <c r="L16" s="81">
        <f t="shared" si="0"/>
        <v>4.04</v>
      </c>
      <c r="O16" s="52">
        <f t="shared" si="1"/>
        <v>1549.6368038740918</v>
      </c>
      <c r="P16" s="52"/>
    </row>
    <row r="17" spans="1:16" ht="14.25">
      <c r="A17" s="95" t="s">
        <v>83</v>
      </c>
      <c r="B17" s="95" t="s">
        <v>85</v>
      </c>
      <c r="C17" s="127">
        <v>205.6</v>
      </c>
      <c r="D17" s="128">
        <v>842.92</v>
      </c>
      <c r="E17" s="127">
        <v>56.6</v>
      </c>
      <c r="F17" s="127">
        <v>21</v>
      </c>
      <c r="G17" s="127">
        <v>6.7</v>
      </c>
      <c r="H17" s="127">
        <v>3.5</v>
      </c>
      <c r="I17" s="127">
        <v>62.2</v>
      </c>
      <c r="J17" s="107">
        <v>1.251</v>
      </c>
      <c r="K17" s="130">
        <v>2.9270979999999995</v>
      </c>
      <c r="L17" s="81">
        <f t="shared" si="0"/>
        <v>4.08</v>
      </c>
      <c r="O17" s="52">
        <f t="shared" si="1"/>
        <v>1549.6368038740918</v>
      </c>
      <c r="P17" s="52"/>
    </row>
    <row r="18" spans="1:16" ht="14.25">
      <c r="A18" s="95" t="s">
        <v>88</v>
      </c>
      <c r="B18" s="95" t="s">
        <v>90</v>
      </c>
      <c r="C18" s="127">
        <v>205.5</v>
      </c>
      <c r="D18" s="128">
        <v>848.86</v>
      </c>
      <c r="E18" s="127">
        <v>55</v>
      </c>
      <c r="F18" s="127">
        <v>20.4</v>
      </c>
      <c r="G18" s="127">
        <v>6.9</v>
      </c>
      <c r="H18" s="127">
        <v>3.8</v>
      </c>
      <c r="I18" s="127">
        <v>61.3</v>
      </c>
      <c r="J18" s="107">
        <v>1.256</v>
      </c>
      <c r="K18" s="130">
        <v>2.912171</v>
      </c>
      <c r="L18" s="81">
        <f t="shared" si="0"/>
        <v>4.2</v>
      </c>
      <c r="O18" s="52">
        <f t="shared" si="1"/>
        <v>1557.177615571776</v>
      </c>
      <c r="P18" s="52"/>
    </row>
    <row r="19" spans="1:16" ht="14.25">
      <c r="A19" s="95" t="s">
        <v>102</v>
      </c>
      <c r="B19" s="95" t="s">
        <v>103</v>
      </c>
      <c r="C19" s="127">
        <v>205</v>
      </c>
      <c r="D19" s="128">
        <v>819.87</v>
      </c>
      <c r="E19" s="127">
        <v>55.1</v>
      </c>
      <c r="F19" s="127">
        <v>23</v>
      </c>
      <c r="G19" s="127">
        <v>6.7</v>
      </c>
      <c r="H19" s="127">
        <v>3.7</v>
      </c>
      <c r="I19" s="127">
        <v>61.2</v>
      </c>
      <c r="J19" s="107">
        <v>1.261</v>
      </c>
      <c r="K19" s="130">
        <v>2.9250459999999996</v>
      </c>
      <c r="L19" s="81">
        <f t="shared" si="0"/>
        <v>4.13</v>
      </c>
      <c r="O19" s="52">
        <f t="shared" si="1"/>
        <v>1549.6368038740918</v>
      </c>
      <c r="P19" s="52"/>
    </row>
    <row r="20" spans="1:16" ht="14.25">
      <c r="A20" s="95" t="s">
        <v>75</v>
      </c>
      <c r="B20" s="95" t="s">
        <v>77</v>
      </c>
      <c r="C20" s="127">
        <v>203.9</v>
      </c>
      <c r="D20" s="128">
        <v>836.13</v>
      </c>
      <c r="E20" s="127">
        <v>53.7</v>
      </c>
      <c r="F20" s="127">
        <v>21</v>
      </c>
      <c r="G20" s="127">
        <v>7</v>
      </c>
      <c r="H20" s="127">
        <v>3.5</v>
      </c>
      <c r="I20" s="127">
        <v>61.5</v>
      </c>
      <c r="J20" s="107">
        <v>1.266</v>
      </c>
      <c r="K20" s="130">
        <v>2.9128719999999997</v>
      </c>
      <c r="L20" s="81">
        <f t="shared" si="0"/>
        <v>4.15</v>
      </c>
      <c r="O20" s="52">
        <f t="shared" si="1"/>
        <v>1560.9756097560974</v>
      </c>
      <c r="P20" s="52"/>
    </row>
    <row r="21" spans="1:16" ht="14.25">
      <c r="A21" s="95" t="s">
        <v>69</v>
      </c>
      <c r="B21" s="95" t="s">
        <v>87</v>
      </c>
      <c r="C21" s="127">
        <v>203.4</v>
      </c>
      <c r="D21" s="128">
        <v>832.74</v>
      </c>
      <c r="E21" s="127">
        <v>58.1</v>
      </c>
      <c r="F21" s="127">
        <v>21.1</v>
      </c>
      <c r="G21" s="127">
        <v>6.9</v>
      </c>
      <c r="H21" s="127">
        <v>3.4</v>
      </c>
      <c r="I21" s="127">
        <v>61.7</v>
      </c>
      <c r="J21" s="107">
        <v>1.272</v>
      </c>
      <c r="K21" s="130">
        <v>2.9201449999999998</v>
      </c>
      <c r="L21" s="81">
        <f t="shared" si="0"/>
        <v>4.11</v>
      </c>
      <c r="O21" s="52">
        <f t="shared" si="1"/>
        <v>1557.177615571776</v>
      </c>
      <c r="P21" s="52"/>
    </row>
    <row r="22" spans="1:16" ht="14.25">
      <c r="A22" s="95" t="s">
        <v>83</v>
      </c>
      <c r="B22" s="95" t="s">
        <v>84</v>
      </c>
      <c r="C22" s="127">
        <v>202.7</v>
      </c>
      <c r="D22" s="128">
        <v>829.86</v>
      </c>
      <c r="E22" s="127">
        <v>55.5</v>
      </c>
      <c r="F22" s="127">
        <v>21.1</v>
      </c>
      <c r="G22" s="127">
        <v>6.5</v>
      </c>
      <c r="H22" s="127">
        <v>3.5</v>
      </c>
      <c r="I22" s="127">
        <v>61.7</v>
      </c>
      <c r="J22" s="107">
        <v>1.236</v>
      </c>
      <c r="K22" s="130">
        <v>2.9370119999999997</v>
      </c>
      <c r="L22" s="81">
        <f t="shared" si="0"/>
        <v>4.04</v>
      </c>
      <c r="O22" s="52">
        <f t="shared" si="1"/>
        <v>1542.168674698795</v>
      </c>
      <c r="P22" s="52"/>
    </row>
    <row r="23" spans="1:16" ht="14.25">
      <c r="A23" s="95" t="s">
        <v>97</v>
      </c>
      <c r="B23" s="95" t="s">
        <v>99</v>
      </c>
      <c r="C23" s="127">
        <v>201.8</v>
      </c>
      <c r="D23" s="128">
        <v>803.18</v>
      </c>
      <c r="E23" s="127">
        <v>54.7</v>
      </c>
      <c r="F23" s="127">
        <v>23.4</v>
      </c>
      <c r="G23" s="127">
        <v>8.3</v>
      </c>
      <c r="H23" s="127">
        <v>4.1</v>
      </c>
      <c r="I23" s="127">
        <v>59.2</v>
      </c>
      <c r="J23" s="107">
        <v>1.299</v>
      </c>
      <c r="K23" s="130">
        <v>2.83389</v>
      </c>
      <c r="L23" s="81">
        <f t="shared" si="0"/>
        <v>4.58</v>
      </c>
      <c r="O23" s="52">
        <f t="shared" si="1"/>
        <v>1612.0906801007554</v>
      </c>
      <c r="P23" s="52"/>
    </row>
    <row r="24" spans="1:16" ht="14.25">
      <c r="A24" s="95" t="s">
        <v>75</v>
      </c>
      <c r="B24" s="95" t="s">
        <v>76</v>
      </c>
      <c r="C24" s="127">
        <v>201.2</v>
      </c>
      <c r="D24" s="128">
        <v>832.78</v>
      </c>
      <c r="E24" s="127">
        <v>56.3</v>
      </c>
      <c r="F24" s="127">
        <v>20.2</v>
      </c>
      <c r="G24" s="127">
        <v>6.4</v>
      </c>
      <c r="H24" s="127">
        <v>3.6</v>
      </c>
      <c r="I24" s="127">
        <v>61.7</v>
      </c>
      <c r="J24" s="107">
        <v>1.236</v>
      </c>
      <c r="K24" s="130">
        <v>2.9409429999999994</v>
      </c>
      <c r="L24" s="81">
        <f t="shared" si="0"/>
        <v>4.04</v>
      </c>
      <c r="O24" s="52">
        <f t="shared" si="1"/>
        <v>1538.4615384615383</v>
      </c>
      <c r="P24" s="52"/>
    </row>
    <row r="25" spans="1:16" ht="14.25">
      <c r="A25" s="95" t="s">
        <v>102</v>
      </c>
      <c r="B25" s="95" t="s">
        <v>104</v>
      </c>
      <c r="C25" s="127">
        <v>199.1</v>
      </c>
      <c r="D25" s="128">
        <v>817.22</v>
      </c>
      <c r="E25" s="127">
        <v>55.5</v>
      </c>
      <c r="F25" s="127">
        <v>20.9</v>
      </c>
      <c r="G25" s="127">
        <v>6.4</v>
      </c>
      <c r="H25" s="127">
        <v>3.5</v>
      </c>
      <c r="I25" s="127">
        <v>61.5</v>
      </c>
      <c r="J25" s="107">
        <v>1.212</v>
      </c>
      <c r="K25" s="130">
        <v>2.9387439999999994</v>
      </c>
      <c r="L25" s="81">
        <f t="shared" si="0"/>
        <v>4.02</v>
      </c>
      <c r="O25" s="52">
        <f t="shared" si="1"/>
        <v>1538.4615384615383</v>
      </c>
      <c r="P25" s="52"/>
    </row>
    <row r="26" spans="1:16" ht="14.25">
      <c r="A26" s="95" t="s">
        <v>80</v>
      </c>
      <c r="B26" s="95" t="s">
        <v>82</v>
      </c>
      <c r="C26" s="127">
        <v>198.9</v>
      </c>
      <c r="D26" s="128">
        <v>819.47</v>
      </c>
      <c r="E26" s="127">
        <v>54.3</v>
      </c>
      <c r="F26" s="127">
        <v>20.6</v>
      </c>
      <c r="G26" s="127">
        <v>6.3</v>
      </c>
      <c r="H26" s="127">
        <v>3.2</v>
      </c>
      <c r="I26" s="127">
        <v>62.4</v>
      </c>
      <c r="J26" s="107">
        <v>1.238</v>
      </c>
      <c r="K26" s="130">
        <v>2.9532289999999994</v>
      </c>
      <c r="L26" s="81">
        <f t="shared" si="0"/>
        <v>3.93</v>
      </c>
      <c r="O26" s="52">
        <f t="shared" si="1"/>
        <v>1534.7721822541964</v>
      </c>
      <c r="P26" s="52"/>
    </row>
    <row r="27" spans="1:16" ht="14.25">
      <c r="A27" s="95" t="s">
        <v>73</v>
      </c>
      <c r="B27" s="95" t="s">
        <v>78</v>
      </c>
      <c r="C27" s="127">
        <v>197.4</v>
      </c>
      <c r="D27" s="128">
        <v>829.19</v>
      </c>
      <c r="E27" s="127">
        <v>54.2</v>
      </c>
      <c r="F27" s="127">
        <v>19</v>
      </c>
      <c r="G27" s="127">
        <v>6.3</v>
      </c>
      <c r="H27" s="127">
        <v>3.6</v>
      </c>
      <c r="I27" s="127">
        <v>61.7</v>
      </c>
      <c r="J27" s="107">
        <v>1.225</v>
      </c>
      <c r="K27" s="130">
        <v>2.9452549999999995</v>
      </c>
      <c r="L27" s="81">
        <f t="shared" si="0"/>
        <v>4.02</v>
      </c>
      <c r="O27" s="52">
        <f t="shared" si="1"/>
        <v>1534.7721822541964</v>
      </c>
      <c r="P27" s="52"/>
    </row>
    <row r="28" spans="1:16" ht="14.25">
      <c r="A28" s="95" t="s">
        <v>80</v>
      </c>
      <c r="B28" s="95" t="s">
        <v>81</v>
      </c>
      <c r="C28" s="127">
        <v>197.1</v>
      </c>
      <c r="D28" s="128">
        <v>815.88</v>
      </c>
      <c r="E28" s="127">
        <v>55.3</v>
      </c>
      <c r="F28" s="127">
        <v>20.2</v>
      </c>
      <c r="G28" s="127">
        <v>6.3</v>
      </c>
      <c r="H28" s="127">
        <v>3.4</v>
      </c>
      <c r="I28" s="127">
        <v>62</v>
      </c>
      <c r="J28" s="107">
        <v>1.232</v>
      </c>
      <c r="K28" s="130">
        <v>2.9485969999999995</v>
      </c>
      <c r="L28" s="81">
        <f t="shared" si="0"/>
        <v>3.97</v>
      </c>
      <c r="O28" s="52">
        <f t="shared" si="1"/>
        <v>1534.7721822541964</v>
      </c>
      <c r="P28" s="52"/>
    </row>
    <row r="29" spans="1:16" ht="14.25">
      <c r="A29" s="95" t="s">
        <v>91</v>
      </c>
      <c r="B29" s="95" t="s">
        <v>92</v>
      </c>
      <c r="C29" s="127">
        <v>197.1</v>
      </c>
      <c r="D29" s="128">
        <v>830.85</v>
      </c>
      <c r="E29" s="127">
        <v>57.7</v>
      </c>
      <c r="F29" s="127">
        <v>18.7</v>
      </c>
      <c r="G29" s="127">
        <v>6.7</v>
      </c>
      <c r="H29" s="127">
        <v>3.9</v>
      </c>
      <c r="I29" s="127">
        <v>61.2</v>
      </c>
      <c r="J29" s="107">
        <v>1.248</v>
      </c>
      <c r="K29" s="130">
        <v>2.9204139999999996</v>
      </c>
      <c r="L29" s="81">
        <f t="shared" si="0"/>
        <v>4.18</v>
      </c>
      <c r="O29" s="52">
        <f t="shared" si="1"/>
        <v>1549.6368038740918</v>
      </c>
      <c r="P29" s="52"/>
    </row>
    <row r="30" spans="1:16" ht="14.25">
      <c r="A30" s="95" t="s">
        <v>73</v>
      </c>
      <c r="B30" s="95" t="s">
        <v>79</v>
      </c>
      <c r="C30" s="127">
        <v>192.3</v>
      </c>
      <c r="D30" s="128">
        <v>812.45</v>
      </c>
      <c r="E30" s="127">
        <v>56.2</v>
      </c>
      <c r="F30" s="127">
        <v>18.5</v>
      </c>
      <c r="G30" s="127">
        <v>6.6</v>
      </c>
      <c r="H30" s="127">
        <v>3.6</v>
      </c>
      <c r="I30" s="127">
        <v>61.8</v>
      </c>
      <c r="J30" s="107">
        <v>1.258</v>
      </c>
      <c r="K30" s="130">
        <v>2.9323189999999997</v>
      </c>
      <c r="L30" s="81">
        <f t="shared" si="0"/>
        <v>4.08</v>
      </c>
      <c r="O30" s="52">
        <f t="shared" si="1"/>
        <v>1545.893719806763</v>
      </c>
      <c r="P30" s="52"/>
    </row>
    <row r="31" spans="1:16" ht="13.5" thickBot="1">
      <c r="A31" s="148" t="s">
        <v>14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O31" s="52"/>
      <c r="P31" s="52"/>
    </row>
    <row r="32" spans="1:16" ht="15" thickBot="1">
      <c r="A32" s="96" t="s">
        <v>73</v>
      </c>
      <c r="B32" s="97" t="s">
        <v>74</v>
      </c>
      <c r="C32" s="127">
        <v>219</v>
      </c>
      <c r="D32" s="128">
        <v>899.74</v>
      </c>
      <c r="E32" s="127">
        <v>56.6</v>
      </c>
      <c r="F32" s="127">
        <v>20.8</v>
      </c>
      <c r="G32" s="127">
        <v>6.6</v>
      </c>
      <c r="H32" s="127">
        <v>3.7</v>
      </c>
      <c r="I32" s="127">
        <v>61.3</v>
      </c>
      <c r="J32" s="107">
        <v>1.25</v>
      </c>
      <c r="K32" s="82">
        <v>2.9293579999999997</v>
      </c>
      <c r="L32" s="79">
        <f>ROUND($J$40+($J$41*(H32-$H$8)*(56/100))+(($N$40-((O32*$J$40/56)+((2000-O32)*($J$43/2000))))*(56/O32)),2)</f>
        <v>4.11</v>
      </c>
      <c r="O32" s="52">
        <f>(2000)*((0.01*$N$43)-0.48)/((0.01*G32)-0.48)</f>
        <v>1545.893719806763</v>
      </c>
      <c r="P32" s="52"/>
    </row>
    <row r="33" spans="1:12" ht="23.25" customHeight="1" thickBot="1">
      <c r="A33" s="53"/>
      <c r="B33" s="54"/>
      <c r="C33" s="54"/>
      <c r="D33" s="54"/>
      <c r="E33" s="54"/>
      <c r="F33" s="54"/>
      <c r="G33" s="55"/>
      <c r="H33" s="55"/>
      <c r="I33" s="55"/>
      <c r="J33" s="54"/>
      <c r="K33" s="54"/>
      <c r="L33" s="56"/>
    </row>
    <row r="34" spans="1:12" ht="16.5">
      <c r="A34" s="57" t="s">
        <v>20</v>
      </c>
      <c r="B34" s="58"/>
      <c r="C34" s="59">
        <f aca="true" t="shared" si="2" ref="C34:L34">AVERAGE(C9:C30)</f>
        <v>206.6045454545455</v>
      </c>
      <c r="D34" s="83">
        <f t="shared" si="2"/>
        <v>850.0945454545455</v>
      </c>
      <c r="E34" s="59">
        <f t="shared" si="2"/>
        <v>55.650000000000006</v>
      </c>
      <c r="F34" s="59">
        <f t="shared" si="2"/>
        <v>20.695454545454545</v>
      </c>
      <c r="G34" s="59">
        <f t="shared" si="2"/>
        <v>6.636363636363637</v>
      </c>
      <c r="H34" s="59">
        <f t="shared" si="2"/>
        <v>3.5500000000000003</v>
      </c>
      <c r="I34" s="59">
        <f t="shared" si="2"/>
        <v>61.559090909090926</v>
      </c>
      <c r="J34" s="131">
        <f t="shared" si="2"/>
        <v>1.2479090909090909</v>
      </c>
      <c r="K34" s="60">
        <f t="shared" si="2"/>
        <v>2.929651499999999</v>
      </c>
      <c r="L34" s="75">
        <f t="shared" si="2"/>
        <v>4.081818181818182</v>
      </c>
    </row>
    <row r="35" spans="1:12" ht="17.25">
      <c r="A35" s="61" t="s">
        <v>21</v>
      </c>
      <c r="B35" s="62"/>
      <c r="C35" s="63">
        <f aca="true" t="shared" si="3" ref="C35:L35">STDEV(C9:C30)</f>
        <v>9.330466087103977</v>
      </c>
      <c r="D35" s="84">
        <f t="shared" si="3"/>
        <v>38.74581116865258</v>
      </c>
      <c r="E35" s="63">
        <f t="shared" si="3"/>
        <v>1.2462324173665356</v>
      </c>
      <c r="F35" s="63">
        <f t="shared" si="3"/>
        <v>1.3590883753903615</v>
      </c>
      <c r="G35" s="63">
        <f t="shared" si="3"/>
        <v>0.46141134890727703</v>
      </c>
      <c r="H35" s="63">
        <f t="shared" si="3"/>
        <v>0.2241385625859486</v>
      </c>
      <c r="I35" s="63">
        <f t="shared" si="3"/>
        <v>0.6973822419175808</v>
      </c>
      <c r="J35" s="64">
        <f t="shared" si="3"/>
        <v>0.019063575567555856</v>
      </c>
      <c r="K35" s="64">
        <f t="shared" si="3"/>
        <v>0.025881161530477387</v>
      </c>
      <c r="L35" s="76">
        <f t="shared" si="3"/>
        <v>0.135106179183928</v>
      </c>
    </row>
    <row r="36" spans="1:12" ht="17.25">
      <c r="A36" s="65" t="s">
        <v>22</v>
      </c>
      <c r="B36" s="66"/>
      <c r="C36" s="67">
        <f aca="true" t="shared" si="4" ref="C36:L36">MAX(C9:C30)</f>
        <v>228.3</v>
      </c>
      <c r="D36" s="85">
        <f t="shared" si="4"/>
        <v>940.67</v>
      </c>
      <c r="E36" s="67">
        <f t="shared" si="4"/>
        <v>58.1</v>
      </c>
      <c r="F36" s="67">
        <f t="shared" si="4"/>
        <v>23.4</v>
      </c>
      <c r="G36" s="67">
        <f t="shared" si="4"/>
        <v>8.3</v>
      </c>
      <c r="H36" s="67">
        <f t="shared" si="4"/>
        <v>4.1</v>
      </c>
      <c r="I36" s="67">
        <f t="shared" si="4"/>
        <v>62.6</v>
      </c>
      <c r="J36" s="132">
        <f t="shared" si="4"/>
        <v>1.299</v>
      </c>
      <c r="K36" s="68">
        <f t="shared" si="4"/>
        <v>2.9676629999999995</v>
      </c>
      <c r="L36" s="77">
        <f t="shared" si="4"/>
        <v>4.58</v>
      </c>
    </row>
    <row r="37" spans="1:12" ht="18" thickBot="1">
      <c r="A37" s="69" t="s">
        <v>23</v>
      </c>
      <c r="B37" s="70"/>
      <c r="C37" s="71">
        <f aca="true" t="shared" si="5" ref="C37:L37">MIN(C9:C30)</f>
        <v>192.3</v>
      </c>
      <c r="D37" s="86">
        <f t="shared" si="5"/>
        <v>803.18</v>
      </c>
      <c r="E37" s="71">
        <f t="shared" si="5"/>
        <v>53.7</v>
      </c>
      <c r="F37" s="71">
        <f t="shared" si="5"/>
        <v>18.5</v>
      </c>
      <c r="G37" s="71">
        <f t="shared" si="5"/>
        <v>5.9</v>
      </c>
      <c r="H37" s="71">
        <f t="shared" si="5"/>
        <v>3.1</v>
      </c>
      <c r="I37" s="71">
        <f t="shared" si="5"/>
        <v>59.2</v>
      </c>
      <c r="J37" s="133">
        <f t="shared" si="5"/>
        <v>1.212</v>
      </c>
      <c r="K37" s="72">
        <f t="shared" si="5"/>
        <v>2.83389</v>
      </c>
      <c r="L37" s="78">
        <f t="shared" si="5"/>
        <v>3.93</v>
      </c>
    </row>
    <row r="38" spans="1:12" ht="15">
      <c r="A38" s="170" t="s">
        <v>65</v>
      </c>
      <c r="B38" s="171"/>
      <c r="C38" s="171"/>
      <c r="D38" s="171"/>
      <c r="E38" s="171"/>
      <c r="F38" s="171"/>
      <c r="G38" s="172"/>
      <c r="H38" s="153"/>
      <c r="I38" s="154"/>
      <c r="J38" s="154"/>
      <c r="K38" s="154"/>
      <c r="L38" s="155"/>
    </row>
    <row r="39" spans="1:14" ht="15.75">
      <c r="A39" s="167" t="s">
        <v>66</v>
      </c>
      <c r="B39" s="168"/>
      <c r="C39" s="168"/>
      <c r="D39" s="168"/>
      <c r="E39" s="168"/>
      <c r="F39" s="168"/>
      <c r="G39" s="169"/>
      <c r="H39" s="164" t="s">
        <v>29</v>
      </c>
      <c r="I39" s="165"/>
      <c r="J39" s="165"/>
      <c r="K39" s="165"/>
      <c r="L39" s="166"/>
      <c r="N39" s="73" t="s">
        <v>30</v>
      </c>
    </row>
    <row r="40" spans="1:14" ht="15.75" thickBot="1">
      <c r="A40" s="160" t="s">
        <v>15</v>
      </c>
      <c r="B40" s="161"/>
      <c r="C40" s="161"/>
      <c r="D40" s="161"/>
      <c r="E40" s="161"/>
      <c r="F40" s="161"/>
      <c r="G40" s="161"/>
      <c r="H40" s="151" t="s">
        <v>31</v>
      </c>
      <c r="I40" s="151"/>
      <c r="J40" s="82">
        <v>4.4</v>
      </c>
      <c r="K40" s="82"/>
      <c r="L40" s="152"/>
      <c r="N40">
        <f>($N$41*$J$40/56)+($N$42*$J$43/2000)</f>
        <v>221.51428571428576</v>
      </c>
    </row>
    <row r="41" spans="1:14" ht="16.5">
      <c r="A41" s="158" t="s">
        <v>17</v>
      </c>
      <c r="B41" s="159"/>
      <c r="C41" s="159"/>
      <c r="D41" s="159"/>
      <c r="E41" s="159"/>
      <c r="F41" s="159"/>
      <c r="G41" s="159"/>
      <c r="H41" s="151" t="s">
        <v>32</v>
      </c>
      <c r="I41" s="151"/>
      <c r="J41" s="107">
        <v>0.41</v>
      </c>
      <c r="K41" s="98"/>
      <c r="L41" s="152"/>
      <c r="N41">
        <f>2000*((0.01*$N$43)-0.48)/((0.01*$G$8)-0.48)</f>
        <v>1599.9999999999998</v>
      </c>
    </row>
    <row r="42" spans="1:14" ht="16.5">
      <c r="A42" s="156" t="s">
        <v>70</v>
      </c>
      <c r="B42" s="157"/>
      <c r="C42" s="157"/>
      <c r="D42" s="157"/>
      <c r="E42" s="157"/>
      <c r="F42" s="157"/>
      <c r="G42" s="157"/>
      <c r="H42" s="151" t="s">
        <v>33</v>
      </c>
      <c r="I42" s="151"/>
      <c r="J42" s="82">
        <v>215</v>
      </c>
      <c r="K42" s="98"/>
      <c r="L42" s="152"/>
      <c r="N42">
        <f>2000-N41</f>
        <v>400.0000000000002</v>
      </c>
    </row>
    <row r="43" spans="1:14" ht="18.75" customHeight="1">
      <c r="A43" s="156" t="s">
        <v>38</v>
      </c>
      <c r="B43" s="157"/>
      <c r="C43" s="157"/>
      <c r="D43" s="157"/>
      <c r="E43" s="157"/>
      <c r="F43" s="157"/>
      <c r="G43" s="157"/>
      <c r="H43" s="151" t="s">
        <v>34</v>
      </c>
      <c r="I43" s="151"/>
      <c r="J43" s="102">
        <v>479</v>
      </c>
      <c r="K43" s="99"/>
      <c r="L43" s="152"/>
      <c r="N43">
        <v>16</v>
      </c>
    </row>
    <row r="44" spans="1:12" ht="32.25" customHeight="1">
      <c r="A44" s="162" t="s">
        <v>18</v>
      </c>
      <c r="B44" s="163"/>
      <c r="C44" s="163"/>
      <c r="D44" s="163"/>
      <c r="E44" s="163"/>
      <c r="F44" s="163"/>
      <c r="G44" s="163"/>
      <c r="H44" s="152"/>
      <c r="I44" s="152"/>
      <c r="J44" s="152"/>
      <c r="K44" s="152"/>
      <c r="L44" s="152"/>
    </row>
    <row r="45" spans="1:12" ht="34.5" customHeight="1">
      <c r="A45" s="162" t="s">
        <v>19</v>
      </c>
      <c r="B45" s="163"/>
      <c r="C45" s="163"/>
      <c r="D45" s="163"/>
      <c r="E45" s="163"/>
      <c r="F45" s="163"/>
      <c r="G45" s="163"/>
      <c r="H45" s="152"/>
      <c r="I45" s="152"/>
      <c r="J45" s="152"/>
      <c r="K45" s="152"/>
      <c r="L45" s="152"/>
    </row>
    <row r="46" spans="1:12" ht="13.5" thickBot="1">
      <c r="A46" s="173" t="s">
        <v>71</v>
      </c>
      <c r="B46" s="174"/>
      <c r="C46" s="174"/>
      <c r="D46" s="174"/>
      <c r="E46" s="174"/>
      <c r="F46" s="174"/>
      <c r="G46" s="174"/>
      <c r="H46" s="152"/>
      <c r="I46" s="152"/>
      <c r="J46" s="152"/>
      <c r="K46" s="152"/>
      <c r="L46" s="152"/>
    </row>
  </sheetData>
  <sheetProtection/>
  <mergeCells count="25">
    <mergeCell ref="A44:G44"/>
    <mergeCell ref="H39:L39"/>
    <mergeCell ref="A39:G39"/>
    <mergeCell ref="A38:G38"/>
    <mergeCell ref="H44:L46"/>
    <mergeCell ref="A45:G45"/>
    <mergeCell ref="A46:G46"/>
    <mergeCell ref="H43:I43"/>
    <mergeCell ref="A31:L31"/>
    <mergeCell ref="H40:I40"/>
    <mergeCell ref="H41:I41"/>
    <mergeCell ref="H42:I42"/>
    <mergeCell ref="L40:L43"/>
    <mergeCell ref="H38:L38"/>
    <mergeCell ref="A43:G43"/>
    <mergeCell ref="A42:G42"/>
    <mergeCell ref="A41:G41"/>
    <mergeCell ref="A40:G40"/>
    <mergeCell ref="G1:L2"/>
    <mergeCell ref="D3:L3"/>
    <mergeCell ref="G4:L4"/>
    <mergeCell ref="E8:F8"/>
    <mergeCell ref="C4:F4"/>
    <mergeCell ref="C2:F2"/>
    <mergeCell ref="C1:F1"/>
  </mergeCells>
  <conditionalFormatting sqref="C9:C30">
    <cfRule type="cellIs" priority="1" dxfId="0" operator="equal" stopIfTrue="1">
      <formula>$C$36</formula>
    </cfRule>
  </conditionalFormatting>
  <conditionalFormatting sqref="D9:D30">
    <cfRule type="cellIs" priority="2" dxfId="0" operator="equal" stopIfTrue="1">
      <formula>$D$36</formula>
    </cfRule>
  </conditionalFormatting>
  <conditionalFormatting sqref="E9:E30">
    <cfRule type="cellIs" priority="3" dxfId="0" operator="equal" stopIfTrue="1">
      <formula>$E$36</formula>
    </cfRule>
  </conditionalFormatting>
  <conditionalFormatting sqref="G9:G30">
    <cfRule type="cellIs" priority="4" dxfId="0" operator="equal" stopIfTrue="1">
      <formula>$G$36</formula>
    </cfRule>
  </conditionalFormatting>
  <conditionalFormatting sqref="H9:H30">
    <cfRule type="cellIs" priority="5" dxfId="0" operator="equal" stopIfTrue="1">
      <formula>$H$36</formula>
    </cfRule>
  </conditionalFormatting>
  <conditionalFormatting sqref="I9:I30">
    <cfRule type="cellIs" priority="6" dxfId="0" operator="equal" stopIfTrue="1">
      <formula>$I$36</formula>
    </cfRule>
  </conditionalFormatting>
  <conditionalFormatting sqref="J9:K30">
    <cfRule type="cellIs" priority="7" dxfId="0" operator="equal" stopIfTrue="1">
      <formula>$J$36</formula>
    </cfRule>
  </conditionalFormatting>
  <conditionalFormatting sqref="L9:L30">
    <cfRule type="cellIs" priority="8" dxfId="0" operator="equal" stopIfTrue="1">
      <formula>$L$36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Univeristy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Hurburgh Jr.</dc:creator>
  <cp:keywords/>
  <dc:description/>
  <cp:lastModifiedBy>Warner, Kelsey D</cp:lastModifiedBy>
  <cp:lastPrinted>2013-11-06T21:35:59Z</cp:lastPrinted>
  <dcterms:created xsi:type="dcterms:W3CDTF">1998-10-01T19:23:01Z</dcterms:created>
  <dcterms:modified xsi:type="dcterms:W3CDTF">2016-04-14T17:21:43Z</dcterms:modified>
  <cp:category/>
  <cp:version/>
  <cp:contentType/>
  <cp:contentStatus/>
</cp:coreProperties>
</file>